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내   문   서\현업   발신\2.ㅅ-ㅎ\☆이현님\2025년도\11.정보공개 관련 1회추경 예산서 한글파일\"/>
    </mc:Choice>
  </mc:AlternateContent>
  <bookViews>
    <workbookView xWindow="0" yWindow="0" windowWidth="28800" windowHeight="12255" firstSheet="6" activeTab="6"/>
  </bookViews>
  <sheets>
    <sheet name="집계표" sheetId="19" r:id="rId1"/>
    <sheet name="경영기획처" sheetId="2" state="hidden" r:id="rId2"/>
    <sheet name="경영기획부 (차량 수정전자료 백업)" sheetId="13" state="hidden" r:id="rId3"/>
    <sheet name="시설관리처(백업)" sheetId="20" state="hidden" r:id="rId4"/>
    <sheet name="시설관리처" sheetId="27" state="hidden" r:id="rId5"/>
    <sheet name="시민회관체육운영처" sheetId="28" state="hidden" r:id="rId6"/>
    <sheet name="공원수련관관리처(공원)" sheetId="25" r:id="rId7"/>
    <sheet name="공원수련관관리처(수련관)" sheetId="26" state="hidden" r:id="rId8"/>
    <sheet name="시설관리처(공영주차)" sheetId="21" state="hidden" r:id="rId9"/>
    <sheet name="시설관리처(교통복지)" sheetId="17" state="hidden" r:id="rId10"/>
  </sheets>
  <definedNames>
    <definedName name="_xlnm._FilterDatabase" localSheetId="2" hidden="1">'경영기획부 (차량 수정전자료 백업)'!$A$3:$O$597</definedName>
    <definedName name="_xlnm._FilterDatabase" localSheetId="1" hidden="1">경영기획처!$A$4:$Q$34</definedName>
    <definedName name="_xlnm._FilterDatabase" localSheetId="7" hidden="1">'공원수련관관리처(수련관)'!$C$12:$Q$315</definedName>
    <definedName name="_xlnm._FilterDatabase" localSheetId="5" hidden="1">시민회관체육운영처!$A$9:$Q$9</definedName>
    <definedName name="_xlnm._FilterDatabase" localSheetId="4" hidden="1">시설관리처!$A$11:$Q$42</definedName>
    <definedName name="_xlnm._FilterDatabase" localSheetId="8" hidden="1">'시설관리처(공영주차)'!$B$14:$Q$89</definedName>
    <definedName name="_xlnm._FilterDatabase" localSheetId="9" hidden="1">'시설관리처(교통복지)'!$A$4:$Q$13</definedName>
    <definedName name="_xlnm._FilterDatabase" localSheetId="3" hidden="1">'시설관리처(백업)'!$A$12:$Q$43</definedName>
    <definedName name="_xlnm.Print_Area" localSheetId="1">경영기획처!$A$1:$P$35</definedName>
    <definedName name="_xlnm.Print_Area" localSheetId="6">'공원수련관관리처(공원)'!$A$1:$O$28</definedName>
    <definedName name="_xlnm.Print_Area" localSheetId="7">'공원수련관관리처(수련관)'!$A$1:$P$316</definedName>
    <definedName name="_xlnm.Print_Area" localSheetId="5">시민회관체육운영처!$A$1:$P$788</definedName>
    <definedName name="_xlnm.Print_Area" localSheetId="4">시설관리처!$A$1:$O$58</definedName>
    <definedName name="_xlnm.Print_Area" localSheetId="8">'시설관리처(공영주차)'!$A$1:$P$90</definedName>
    <definedName name="_xlnm.Print_Area" localSheetId="9">'시설관리처(교통복지)'!$A$1:$P$14</definedName>
    <definedName name="_xlnm.Print_Area" localSheetId="3">'시설관리처(백업)'!$A$1:$O$59</definedName>
    <definedName name="_xlnm.Print_Area" localSheetId="0">집계표!$A$1:$D$13</definedName>
    <definedName name="_xlnm.Print_Titles" localSheetId="6">'공원수련관관리처(공원)'!$1:$5</definedName>
    <definedName name="_xlnm.Print_Titles" localSheetId="7">'공원수련관관리처(수련관)'!$1:$5</definedName>
    <definedName name="_xlnm.Print_Titles" localSheetId="5">시민회관체육운영처!$1:$5</definedName>
    <definedName name="_xlnm.Print_Titles" localSheetId="4">시설관리처!$1:$5</definedName>
    <definedName name="_xlnm.Print_Titles" localSheetId="8">'시설관리처(공영주차)'!$1:$5</definedName>
    <definedName name="_xlnm.Print_Titles" localSheetId="3">'시설관리처(백업)'!$1:$6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6" i="25" l="1"/>
  <c r="O26" i="25" s="1"/>
  <c r="O25" i="25"/>
  <c r="M17" i="25"/>
  <c r="O17" i="25" s="1"/>
  <c r="O16" i="25"/>
  <c r="M22" i="25"/>
  <c r="O22" i="25" s="1"/>
  <c r="O21" i="25"/>
  <c r="O13" i="25" l="1"/>
  <c r="N7" i="25"/>
  <c r="N6" i="25" s="1"/>
  <c r="O12" i="25" l="1"/>
  <c r="O7" i="25" s="1"/>
  <c r="O6" i="25" s="1"/>
  <c r="M7" i="25"/>
  <c r="M6" i="25" s="1"/>
  <c r="L787" i="28"/>
  <c r="M787" i="28" s="1"/>
  <c r="O787" i="28" s="1"/>
  <c r="L785" i="28"/>
  <c r="M785" i="28" s="1"/>
  <c r="O785" i="28" s="1"/>
  <c r="L783" i="28"/>
  <c r="M783" i="28" s="1"/>
  <c r="O783" i="28" s="1"/>
  <c r="L781" i="28"/>
  <c r="M781" i="28" s="1"/>
  <c r="O781" i="28" s="1"/>
  <c r="L778" i="28"/>
  <c r="M778" i="28" s="1"/>
  <c r="O778" i="28" s="1"/>
  <c r="L776" i="28"/>
  <c r="M776" i="28" s="1"/>
  <c r="O776" i="28" s="1"/>
  <c r="L774" i="28"/>
  <c r="M774" i="28" s="1"/>
  <c r="O774" i="28" s="1"/>
  <c r="L772" i="28"/>
  <c r="M772" i="28" s="1"/>
  <c r="O772" i="28" s="1"/>
  <c r="L770" i="28"/>
  <c r="M770" i="28" s="1"/>
  <c r="O770" i="28" s="1"/>
  <c r="L767" i="28"/>
  <c r="M767" i="28" s="1"/>
  <c r="O767" i="28" s="1"/>
  <c r="L765" i="28"/>
  <c r="M765" i="28" s="1"/>
  <c r="O765" i="28" s="1"/>
  <c r="L763" i="28"/>
  <c r="M763" i="28" s="1"/>
  <c r="O763" i="28" s="1"/>
  <c r="L761" i="28"/>
  <c r="M761" i="28" s="1"/>
  <c r="O761" i="28" s="1"/>
  <c r="L759" i="28"/>
  <c r="M759" i="28" s="1"/>
  <c r="O759" i="28" s="1"/>
  <c r="L756" i="28"/>
  <c r="M756" i="28" s="1"/>
  <c r="O756" i="28" s="1"/>
  <c r="L754" i="28"/>
  <c r="M754" i="28" s="1"/>
  <c r="O754" i="28" s="1"/>
  <c r="L752" i="28"/>
  <c r="M752" i="28" s="1"/>
  <c r="O752" i="28" s="1"/>
  <c r="L750" i="28"/>
  <c r="M750" i="28" s="1"/>
  <c r="O750" i="28" s="1"/>
  <c r="L748" i="28"/>
  <c r="M748" i="28" s="1"/>
  <c r="L745" i="28"/>
  <c r="M745" i="28" s="1"/>
  <c r="O745" i="28" s="1"/>
  <c r="L743" i="28"/>
  <c r="M743" i="28" s="1"/>
  <c r="O743" i="28" s="1"/>
  <c r="L741" i="28"/>
  <c r="M741" i="28" s="1"/>
  <c r="O741" i="28" s="1"/>
  <c r="L739" i="28"/>
  <c r="M739" i="28" s="1"/>
  <c r="O739" i="28" s="1"/>
  <c r="M737" i="28"/>
  <c r="O737" i="28" s="1"/>
  <c r="L737" i="28"/>
  <c r="L734" i="28"/>
  <c r="M734" i="28" s="1"/>
  <c r="O734" i="28" s="1"/>
  <c r="L732" i="28"/>
  <c r="M732" i="28" s="1"/>
  <c r="O732" i="28" s="1"/>
  <c r="L730" i="28"/>
  <c r="M730" i="28" s="1"/>
  <c r="O730" i="28" s="1"/>
  <c r="L728" i="28"/>
  <c r="M728" i="28" s="1"/>
  <c r="O728" i="28" s="1"/>
  <c r="L725" i="28"/>
  <c r="M725" i="28" s="1"/>
  <c r="O725" i="28" s="1"/>
  <c r="L723" i="28"/>
  <c r="M723" i="28" s="1"/>
  <c r="O723" i="28" s="1"/>
  <c r="L721" i="28"/>
  <c r="M721" i="28" s="1"/>
  <c r="O721" i="28" s="1"/>
  <c r="L719" i="28"/>
  <c r="M719" i="28" s="1"/>
  <c r="O719" i="28" s="1"/>
  <c r="L717" i="28"/>
  <c r="M717" i="28" s="1"/>
  <c r="O717" i="28" s="1"/>
  <c r="L715" i="28"/>
  <c r="M715" i="28" s="1"/>
  <c r="O715" i="28" s="1"/>
  <c r="L713" i="28"/>
  <c r="M713" i="28" s="1"/>
  <c r="O713" i="28" s="1"/>
  <c r="L711" i="28"/>
  <c r="M711" i="28" s="1"/>
  <c r="O711" i="28" s="1"/>
  <c r="L709" i="28"/>
  <c r="M709" i="28" s="1"/>
  <c r="O709" i="28" s="1"/>
  <c r="L707" i="28"/>
  <c r="M707" i="28" s="1"/>
  <c r="O707" i="28" s="1"/>
  <c r="L705" i="28"/>
  <c r="M705" i="28" s="1"/>
  <c r="O705" i="28" s="1"/>
  <c r="L703" i="28"/>
  <c r="M703" i="28" s="1"/>
  <c r="O703" i="28" s="1"/>
  <c r="L701" i="28"/>
  <c r="M701" i="28" s="1"/>
  <c r="O701" i="28" s="1"/>
  <c r="L698" i="28"/>
  <c r="M698" i="28" s="1"/>
  <c r="O698" i="28" s="1"/>
  <c r="L696" i="28"/>
  <c r="M696" i="28" s="1"/>
  <c r="O696" i="28" s="1"/>
  <c r="L693" i="28"/>
  <c r="M693" i="28" s="1"/>
  <c r="O693" i="28" s="1"/>
  <c r="L691" i="28"/>
  <c r="M691" i="28" s="1"/>
  <c r="O691" i="28" s="1"/>
  <c r="L688" i="28"/>
  <c r="M688" i="28" s="1"/>
  <c r="O688" i="28" s="1"/>
  <c r="M686" i="28"/>
  <c r="O686" i="28" s="1"/>
  <c r="L686" i="28"/>
  <c r="O683" i="28"/>
  <c r="L683" i="28"/>
  <c r="L681" i="28"/>
  <c r="M681" i="28" s="1"/>
  <c r="O681" i="28" s="1"/>
  <c r="O679" i="28"/>
  <c r="L679" i="28"/>
  <c r="L677" i="28"/>
  <c r="M677" i="28" s="1"/>
  <c r="O677" i="28" s="1"/>
  <c r="L674" i="28"/>
  <c r="M674" i="28" s="1"/>
  <c r="O674" i="28" s="1"/>
  <c r="L672" i="28"/>
  <c r="M672" i="28" s="1"/>
  <c r="O672" i="28" s="1"/>
  <c r="L670" i="28"/>
  <c r="M670" i="28" s="1"/>
  <c r="O670" i="28" s="1"/>
  <c r="L668" i="28"/>
  <c r="M668" i="28" s="1"/>
  <c r="O668" i="28" s="1"/>
  <c r="L665" i="28"/>
  <c r="M665" i="28" s="1"/>
  <c r="O665" i="28" s="1"/>
  <c r="L663" i="28"/>
  <c r="M663" i="28" s="1"/>
  <c r="O663" i="28" s="1"/>
  <c r="L661" i="28"/>
  <c r="M661" i="28" s="1"/>
  <c r="O661" i="28" s="1"/>
  <c r="L659" i="28"/>
  <c r="L654" i="28"/>
  <c r="M654" i="28" s="1"/>
  <c r="O654" i="28" s="1"/>
  <c r="L652" i="28"/>
  <c r="M652" i="28" s="1"/>
  <c r="O652" i="28" s="1"/>
  <c r="L649" i="28"/>
  <c r="M649" i="28" s="1"/>
  <c r="O649" i="28" s="1"/>
  <c r="L647" i="28"/>
  <c r="M647" i="28" s="1"/>
  <c r="O647" i="28" s="1"/>
  <c r="L645" i="28"/>
  <c r="M645" i="28" s="1"/>
  <c r="O645" i="28" s="1"/>
  <c r="L643" i="28"/>
  <c r="M643" i="28" s="1"/>
  <c r="O643" i="28" s="1"/>
  <c r="L641" i="28"/>
  <c r="M641" i="28" s="1"/>
  <c r="O641" i="28" s="1"/>
  <c r="M639" i="28"/>
  <c r="O639" i="28" s="1"/>
  <c r="L639" i="28"/>
  <c r="L636" i="28"/>
  <c r="M636" i="28" s="1"/>
  <c r="O636" i="28" s="1"/>
  <c r="L634" i="28"/>
  <c r="M634" i="28" s="1"/>
  <c r="O634" i="28" s="1"/>
  <c r="L631" i="28"/>
  <c r="M631" i="28" s="1"/>
  <c r="O631" i="28" s="1"/>
  <c r="L629" i="28"/>
  <c r="M629" i="28" s="1"/>
  <c r="O629" i="28" s="1"/>
  <c r="O626" i="28"/>
  <c r="L624" i="28"/>
  <c r="M624" i="28" s="1"/>
  <c r="O624" i="28" s="1"/>
  <c r="L622" i="28"/>
  <c r="M622" i="28" s="1"/>
  <c r="O622" i="28" s="1"/>
  <c r="L618" i="28"/>
  <c r="M618" i="28" s="1"/>
  <c r="O618" i="28" s="1"/>
  <c r="L616" i="28"/>
  <c r="M616" i="28" s="1"/>
  <c r="O616" i="28" s="1"/>
  <c r="L613" i="28"/>
  <c r="M613" i="28" s="1"/>
  <c r="O613" i="28" s="1"/>
  <c r="L611" i="28"/>
  <c r="M611" i="28" s="1"/>
  <c r="O611" i="28" s="1"/>
  <c r="L608" i="28"/>
  <c r="M608" i="28" s="1"/>
  <c r="O608" i="28" s="1"/>
  <c r="L606" i="28"/>
  <c r="M606" i="28" s="1"/>
  <c r="O606" i="28" s="1"/>
  <c r="L604" i="28"/>
  <c r="M604" i="28" s="1"/>
  <c r="O604" i="28" s="1"/>
  <c r="L602" i="28"/>
  <c r="M602" i="28" s="1"/>
  <c r="O602" i="28" s="1"/>
  <c r="L599" i="28"/>
  <c r="M599" i="28" s="1"/>
  <c r="O599" i="28" s="1"/>
  <c r="L597" i="28"/>
  <c r="M597" i="28" s="1"/>
  <c r="O597" i="28" s="1"/>
  <c r="L594" i="28"/>
  <c r="M594" i="28" s="1"/>
  <c r="O594" i="28" s="1"/>
  <c r="L592" i="28"/>
  <c r="M592" i="28" s="1"/>
  <c r="O592" i="28" s="1"/>
  <c r="L590" i="28"/>
  <c r="M590" i="28" s="1"/>
  <c r="O590" i="28" s="1"/>
  <c r="L588" i="28"/>
  <c r="M588" i="28" s="1"/>
  <c r="O588" i="28" s="1"/>
  <c r="L586" i="28"/>
  <c r="M586" i="28" s="1"/>
  <c r="O586" i="28" s="1"/>
  <c r="L584" i="28"/>
  <c r="M584" i="28" s="1"/>
  <c r="O584" i="28" s="1"/>
  <c r="L582" i="28"/>
  <c r="M582" i="28" s="1"/>
  <c r="O582" i="28" s="1"/>
  <c r="L580" i="28"/>
  <c r="M580" i="28" s="1"/>
  <c r="O580" i="28" s="1"/>
  <c r="L577" i="28"/>
  <c r="M577" i="28" s="1"/>
  <c r="O577" i="28" s="1"/>
  <c r="L575" i="28"/>
  <c r="M575" i="28" s="1"/>
  <c r="O575" i="28" s="1"/>
  <c r="L573" i="28"/>
  <c r="M573" i="28" s="1"/>
  <c r="O573" i="28" s="1"/>
  <c r="L569" i="28"/>
  <c r="M569" i="28" s="1"/>
  <c r="O569" i="28" s="1"/>
  <c r="L567" i="28"/>
  <c r="M567" i="28" s="1"/>
  <c r="O567" i="28" s="1"/>
  <c r="L564" i="28"/>
  <c r="M564" i="28" s="1"/>
  <c r="O564" i="28" s="1"/>
  <c r="L562" i="28"/>
  <c r="M562" i="28" s="1"/>
  <c r="O562" i="28" s="1"/>
  <c r="L560" i="28"/>
  <c r="M560" i="28" s="1"/>
  <c r="O560" i="28" s="1"/>
  <c r="L557" i="28"/>
  <c r="M557" i="28" s="1"/>
  <c r="O557" i="28" s="1"/>
  <c r="L555" i="28"/>
  <c r="M555" i="28" s="1"/>
  <c r="O555" i="28" s="1"/>
  <c r="L552" i="28"/>
  <c r="M552" i="28" s="1"/>
  <c r="O552" i="28" s="1"/>
  <c r="L550" i="28"/>
  <c r="M550" i="28" s="1"/>
  <c r="O550" i="28" s="1"/>
  <c r="L547" i="28"/>
  <c r="M547" i="28" s="1"/>
  <c r="O547" i="28" s="1"/>
  <c r="M545" i="28"/>
  <c r="O545" i="28" s="1"/>
  <c r="L545" i="28"/>
  <c r="L542" i="28"/>
  <c r="M542" i="28" s="1"/>
  <c r="O542" i="28" s="1"/>
  <c r="L540" i="28"/>
  <c r="M540" i="28" s="1"/>
  <c r="O540" i="28" s="1"/>
  <c r="L538" i="28"/>
  <c r="M538" i="28" s="1"/>
  <c r="O538" i="28" s="1"/>
  <c r="M535" i="28"/>
  <c r="O535" i="28" s="1"/>
  <c r="L533" i="28"/>
  <c r="M533" i="28" s="1"/>
  <c r="O533" i="28" s="1"/>
  <c r="L531" i="28"/>
  <c r="M531" i="28" s="1"/>
  <c r="O531" i="28" s="1"/>
  <c r="L528" i="28"/>
  <c r="M528" i="28" s="1"/>
  <c r="O528" i="28" s="1"/>
  <c r="L526" i="28"/>
  <c r="M526" i="28" s="1"/>
  <c r="O526" i="28" s="1"/>
  <c r="L523" i="28"/>
  <c r="M523" i="28" s="1"/>
  <c r="O523" i="28" s="1"/>
  <c r="L521" i="28"/>
  <c r="M521" i="28" s="1"/>
  <c r="O521" i="28" s="1"/>
  <c r="L519" i="28"/>
  <c r="M519" i="28" s="1"/>
  <c r="O519" i="28" s="1"/>
  <c r="L517" i="28"/>
  <c r="M517" i="28" s="1"/>
  <c r="O517" i="28" s="1"/>
  <c r="L515" i="28"/>
  <c r="M515" i="28" s="1"/>
  <c r="O515" i="28" s="1"/>
  <c r="L513" i="28"/>
  <c r="M513" i="28" s="1"/>
  <c r="O513" i="28" s="1"/>
  <c r="M510" i="28"/>
  <c r="O510" i="28" s="1"/>
  <c r="L508" i="28"/>
  <c r="M508" i="28" s="1"/>
  <c r="O508" i="28" s="1"/>
  <c r="L506" i="28"/>
  <c r="M506" i="28" s="1"/>
  <c r="O506" i="28" s="1"/>
  <c r="L504" i="28"/>
  <c r="M504" i="28" s="1"/>
  <c r="O504" i="28" s="1"/>
  <c r="L502" i="28"/>
  <c r="M502" i="28" s="1"/>
  <c r="O502" i="28" s="1"/>
  <c r="L499" i="28"/>
  <c r="M499" i="28" s="1"/>
  <c r="O499" i="28" s="1"/>
  <c r="L497" i="28"/>
  <c r="M497" i="28" s="1"/>
  <c r="O497" i="28" s="1"/>
  <c r="M494" i="28"/>
  <c r="O494" i="28" s="1"/>
  <c r="L494" i="28"/>
  <c r="L492" i="28"/>
  <c r="M492" i="28" s="1"/>
  <c r="O492" i="28" s="1"/>
  <c r="L489" i="28"/>
  <c r="M489" i="28" s="1"/>
  <c r="O489" i="28" s="1"/>
  <c r="L487" i="28"/>
  <c r="M487" i="28" s="1"/>
  <c r="O487" i="28" s="1"/>
  <c r="L484" i="28"/>
  <c r="M484" i="28" s="1"/>
  <c r="O484" i="28" s="1"/>
  <c r="L482" i="28"/>
  <c r="M482" i="28" s="1"/>
  <c r="O482" i="28" s="1"/>
  <c r="L480" i="28"/>
  <c r="M480" i="28" s="1"/>
  <c r="O480" i="28" s="1"/>
  <c r="M477" i="28"/>
  <c r="O477" i="28" s="1"/>
  <c r="L477" i="28"/>
  <c r="L475" i="28"/>
  <c r="M475" i="28" s="1"/>
  <c r="O475" i="28" s="1"/>
  <c r="L472" i="28"/>
  <c r="M472" i="28" s="1"/>
  <c r="O472" i="28" s="1"/>
  <c r="L470" i="28"/>
  <c r="M470" i="28" s="1"/>
  <c r="O470" i="28" s="1"/>
  <c r="L467" i="28"/>
  <c r="M467" i="28" s="1"/>
  <c r="O467" i="28" s="1"/>
  <c r="L465" i="28"/>
  <c r="M465" i="28" s="1"/>
  <c r="O465" i="28" s="1"/>
  <c r="L462" i="28"/>
  <c r="M462" i="28" s="1"/>
  <c r="O462" i="28" s="1"/>
  <c r="L460" i="28"/>
  <c r="M460" i="28" s="1"/>
  <c r="O460" i="28" s="1"/>
  <c r="L458" i="28"/>
  <c r="M458" i="28" s="1"/>
  <c r="O458" i="28" s="1"/>
  <c r="L456" i="28"/>
  <c r="M456" i="28" s="1"/>
  <c r="O456" i="28" s="1"/>
  <c r="L454" i="28"/>
  <c r="M454" i="28" s="1"/>
  <c r="O454" i="28" s="1"/>
  <c r="L452" i="28"/>
  <c r="M452" i="28" s="1"/>
  <c r="O452" i="28" s="1"/>
  <c r="L450" i="28"/>
  <c r="M450" i="28" s="1"/>
  <c r="O450" i="28" s="1"/>
  <c r="L448" i="28"/>
  <c r="M448" i="28" s="1"/>
  <c r="O448" i="28" s="1"/>
  <c r="L446" i="28"/>
  <c r="M446" i="28" s="1"/>
  <c r="O446" i="28" s="1"/>
  <c r="L444" i="28"/>
  <c r="M444" i="28" s="1"/>
  <c r="O444" i="28" s="1"/>
  <c r="L442" i="28"/>
  <c r="M442" i="28" s="1"/>
  <c r="O442" i="28" s="1"/>
  <c r="L439" i="28"/>
  <c r="M439" i="28" s="1"/>
  <c r="O439" i="28" s="1"/>
  <c r="L437" i="28"/>
  <c r="M437" i="28" s="1"/>
  <c r="O437" i="28" s="1"/>
  <c r="L435" i="28"/>
  <c r="M435" i="28" s="1"/>
  <c r="O435" i="28" s="1"/>
  <c r="L432" i="28"/>
  <c r="M432" i="28" s="1"/>
  <c r="O432" i="28" s="1"/>
  <c r="L430" i="28"/>
  <c r="M430" i="28" s="1"/>
  <c r="O430" i="28" s="1"/>
  <c r="L428" i="28"/>
  <c r="M428" i="28" s="1"/>
  <c r="O428" i="28" s="1"/>
  <c r="L425" i="28"/>
  <c r="M425" i="28" s="1"/>
  <c r="O425" i="28" s="1"/>
  <c r="L423" i="28"/>
  <c r="M423" i="28" s="1"/>
  <c r="O423" i="28" s="1"/>
  <c r="M421" i="28"/>
  <c r="O421" i="28" s="1"/>
  <c r="L421" i="28"/>
  <c r="L418" i="28"/>
  <c r="M418" i="28" s="1"/>
  <c r="O418" i="28" s="1"/>
  <c r="L416" i="28"/>
  <c r="M416" i="28" s="1"/>
  <c r="O416" i="28" s="1"/>
  <c r="L414" i="28"/>
  <c r="M414" i="28" s="1"/>
  <c r="O414" i="28" s="1"/>
  <c r="L411" i="28"/>
  <c r="M411" i="28" s="1"/>
  <c r="O411" i="28" s="1"/>
  <c r="L409" i="28"/>
  <c r="M409" i="28" s="1"/>
  <c r="O409" i="28" s="1"/>
  <c r="L407" i="28"/>
  <c r="M407" i="28" s="1"/>
  <c r="O407" i="28" s="1"/>
  <c r="M404" i="28"/>
  <c r="O404" i="28" s="1"/>
  <c r="L404" i="28"/>
  <c r="L402" i="28"/>
  <c r="M402" i="28" s="1"/>
  <c r="O402" i="28" s="1"/>
  <c r="L400" i="28"/>
  <c r="M400" i="28" s="1"/>
  <c r="O400" i="28" s="1"/>
  <c r="L398" i="28"/>
  <c r="M398" i="28" s="1"/>
  <c r="O398" i="28" s="1"/>
  <c r="L396" i="28"/>
  <c r="M396" i="28" s="1"/>
  <c r="O396" i="28" s="1"/>
  <c r="L394" i="28"/>
  <c r="M394" i="28" s="1"/>
  <c r="O394" i="28" s="1"/>
  <c r="L391" i="28"/>
  <c r="M391" i="28" s="1"/>
  <c r="O391" i="28" s="1"/>
  <c r="L389" i="28"/>
  <c r="M389" i="28" s="1"/>
  <c r="O389" i="28" s="1"/>
  <c r="L387" i="28"/>
  <c r="M387" i="28" s="1"/>
  <c r="O387" i="28" s="1"/>
  <c r="L385" i="28"/>
  <c r="M385" i="28" s="1"/>
  <c r="O385" i="28" s="1"/>
  <c r="L383" i="28"/>
  <c r="M383" i="28" s="1"/>
  <c r="O383" i="28" s="1"/>
  <c r="L381" i="28"/>
  <c r="M381" i="28" s="1"/>
  <c r="O381" i="28" s="1"/>
  <c r="L379" i="28"/>
  <c r="M379" i="28" s="1"/>
  <c r="O379" i="28" s="1"/>
  <c r="L377" i="28"/>
  <c r="M377" i="28" s="1"/>
  <c r="O377" i="28" s="1"/>
  <c r="L375" i="28"/>
  <c r="M375" i="28" s="1"/>
  <c r="O375" i="28" s="1"/>
  <c r="L373" i="28"/>
  <c r="M373" i="28" s="1"/>
  <c r="O373" i="28" s="1"/>
  <c r="L370" i="28"/>
  <c r="M370" i="28" s="1"/>
  <c r="O370" i="28" s="1"/>
  <c r="L368" i="28"/>
  <c r="M368" i="28" s="1"/>
  <c r="O368" i="28" s="1"/>
  <c r="L366" i="28"/>
  <c r="M366" i="28" s="1"/>
  <c r="O366" i="28" s="1"/>
  <c r="O365" i="28"/>
  <c r="L364" i="28"/>
  <c r="M364" i="28" s="1"/>
  <c r="O364" i="28" s="1"/>
  <c r="L362" i="28"/>
  <c r="M362" i="28" s="1"/>
  <c r="O362" i="28" s="1"/>
  <c r="L360" i="28"/>
  <c r="M360" i="28" s="1"/>
  <c r="O360" i="28" s="1"/>
  <c r="L358" i="28"/>
  <c r="M358" i="28" s="1"/>
  <c r="O358" i="28" s="1"/>
  <c r="L356" i="28"/>
  <c r="M356" i="28" s="1"/>
  <c r="O356" i="28" s="1"/>
  <c r="L354" i="28"/>
  <c r="M354" i="28" s="1"/>
  <c r="O354" i="28" s="1"/>
  <c r="L352" i="28"/>
  <c r="M352" i="28" s="1"/>
  <c r="O352" i="28" s="1"/>
  <c r="L350" i="28"/>
  <c r="M350" i="28" s="1"/>
  <c r="O350" i="28" s="1"/>
  <c r="L348" i="28"/>
  <c r="M348" i="28" s="1"/>
  <c r="O348" i="28" s="1"/>
  <c r="L346" i="28"/>
  <c r="M346" i="28" s="1"/>
  <c r="O346" i="28" s="1"/>
  <c r="L344" i="28"/>
  <c r="M344" i="28" s="1"/>
  <c r="O344" i="28" s="1"/>
  <c r="L342" i="28"/>
  <c r="M342" i="28" s="1"/>
  <c r="O342" i="28" s="1"/>
  <c r="L340" i="28"/>
  <c r="M340" i="28" s="1"/>
  <c r="O340" i="28" s="1"/>
  <c r="L338" i="28"/>
  <c r="M338" i="28" s="1"/>
  <c r="O338" i="28" s="1"/>
  <c r="O335" i="28"/>
  <c r="L335" i="28"/>
  <c r="L333" i="28"/>
  <c r="M333" i="28" s="1"/>
  <c r="O333" i="28" s="1"/>
  <c r="O330" i="28"/>
  <c r="L330" i="28"/>
  <c r="L328" i="28"/>
  <c r="M328" i="28" s="1"/>
  <c r="O328" i="28" s="1"/>
  <c r="L325" i="28"/>
  <c r="M325" i="28" s="1"/>
  <c r="O325" i="28" s="1"/>
  <c r="L323" i="28"/>
  <c r="L319" i="28"/>
  <c r="M319" i="28" s="1"/>
  <c r="O319" i="28" s="1"/>
  <c r="L317" i="28"/>
  <c r="M317" i="28" s="1"/>
  <c r="O317" i="28" s="1"/>
  <c r="L315" i="28"/>
  <c r="M315" i="28" s="1"/>
  <c r="O315" i="28" s="1"/>
  <c r="L313" i="28"/>
  <c r="M313" i="28" s="1"/>
  <c r="O313" i="28" s="1"/>
  <c r="L310" i="28"/>
  <c r="M310" i="28" s="1"/>
  <c r="O310" i="28" s="1"/>
  <c r="L308" i="28"/>
  <c r="M308" i="28" s="1"/>
  <c r="O308" i="28" s="1"/>
  <c r="M306" i="28"/>
  <c r="O306" i="28" s="1"/>
  <c r="L306" i="28"/>
  <c r="L304" i="28"/>
  <c r="M304" i="28" s="1"/>
  <c r="O304" i="28" s="1"/>
  <c r="L302" i="28"/>
  <c r="M302" i="28" s="1"/>
  <c r="O302" i="28" s="1"/>
  <c r="L300" i="28"/>
  <c r="M300" i="28" s="1"/>
  <c r="O300" i="28" s="1"/>
  <c r="L297" i="28"/>
  <c r="M297" i="28" s="1"/>
  <c r="O297" i="28" s="1"/>
  <c r="L295" i="28"/>
  <c r="M295" i="28" s="1"/>
  <c r="O295" i="28" s="1"/>
  <c r="L293" i="28"/>
  <c r="M293" i="28" s="1"/>
  <c r="O293" i="28" s="1"/>
  <c r="L291" i="28"/>
  <c r="M291" i="28" s="1"/>
  <c r="O291" i="28" s="1"/>
  <c r="L289" i="28"/>
  <c r="M289" i="28" s="1"/>
  <c r="O289" i="28" s="1"/>
  <c r="L287" i="28"/>
  <c r="M287" i="28" s="1"/>
  <c r="O287" i="28" s="1"/>
  <c r="L283" i="28"/>
  <c r="M283" i="28" s="1"/>
  <c r="O283" i="28" s="1"/>
  <c r="L281" i="28"/>
  <c r="M281" i="28" s="1"/>
  <c r="O281" i="28" s="1"/>
  <c r="L279" i="28"/>
  <c r="M279" i="28" s="1"/>
  <c r="O279" i="28" s="1"/>
  <c r="L277" i="28"/>
  <c r="M277" i="28" s="1"/>
  <c r="O277" i="28" s="1"/>
  <c r="L275" i="28"/>
  <c r="M275" i="28" s="1"/>
  <c r="O275" i="28" s="1"/>
  <c r="L273" i="28"/>
  <c r="M273" i="28" s="1"/>
  <c r="O273" i="28" s="1"/>
  <c r="L269" i="28"/>
  <c r="M269" i="28" s="1"/>
  <c r="O269" i="28" s="1"/>
  <c r="L267" i="28"/>
  <c r="M267" i="28" s="1"/>
  <c r="O267" i="28" s="1"/>
  <c r="M265" i="28"/>
  <c r="O265" i="28" s="1"/>
  <c r="L265" i="28"/>
  <c r="L262" i="28"/>
  <c r="M262" i="28" s="1"/>
  <c r="O262" i="28" s="1"/>
  <c r="L259" i="28"/>
  <c r="M259" i="28" s="1"/>
  <c r="O259" i="28" s="1"/>
  <c r="L257" i="28"/>
  <c r="M257" i="28" s="1"/>
  <c r="O257" i="28" s="1"/>
  <c r="L255" i="28"/>
  <c r="M255" i="28" s="1"/>
  <c r="O255" i="28" s="1"/>
  <c r="L253" i="28"/>
  <c r="M253" i="28" s="1"/>
  <c r="O253" i="28" s="1"/>
  <c r="L250" i="28"/>
  <c r="M250" i="28" s="1"/>
  <c r="O250" i="28" s="1"/>
  <c r="L248" i="28"/>
  <c r="M248" i="28" s="1"/>
  <c r="O248" i="28" s="1"/>
  <c r="L246" i="28"/>
  <c r="M246" i="28" s="1"/>
  <c r="O246" i="28" s="1"/>
  <c r="L244" i="28"/>
  <c r="M244" i="28" s="1"/>
  <c r="O244" i="28" s="1"/>
  <c r="M241" i="28"/>
  <c r="O241" i="28" s="1"/>
  <c r="L241" i="28"/>
  <c r="L239" i="28"/>
  <c r="M239" i="28" s="1"/>
  <c r="O239" i="28" s="1"/>
  <c r="L236" i="28"/>
  <c r="M236" i="28" s="1"/>
  <c r="O236" i="28" s="1"/>
  <c r="L234" i="28"/>
  <c r="M234" i="28" s="1"/>
  <c r="O234" i="28" s="1"/>
  <c r="L232" i="28"/>
  <c r="M232" i="28" s="1"/>
  <c r="O232" i="28" s="1"/>
  <c r="L230" i="28"/>
  <c r="M230" i="28" s="1"/>
  <c r="O230" i="28" s="1"/>
  <c r="L225" i="28"/>
  <c r="M225" i="28" s="1"/>
  <c r="O225" i="28" s="1"/>
  <c r="L223" i="28"/>
  <c r="M223" i="28" s="1"/>
  <c r="O223" i="28" s="1"/>
  <c r="L221" i="28"/>
  <c r="M221" i="28" s="1"/>
  <c r="O221" i="28" s="1"/>
  <c r="L219" i="28"/>
  <c r="M219" i="28" s="1"/>
  <c r="O219" i="28" s="1"/>
  <c r="L217" i="28"/>
  <c r="M217" i="28" s="1"/>
  <c r="O217" i="28" s="1"/>
  <c r="L215" i="28"/>
  <c r="M215" i="28" s="1"/>
  <c r="O215" i="28" s="1"/>
  <c r="L213" i="28"/>
  <c r="M213" i="28" s="1"/>
  <c r="O213" i="28" s="1"/>
  <c r="L211" i="28"/>
  <c r="M211" i="28" s="1"/>
  <c r="O211" i="28" s="1"/>
  <c r="L209" i="28"/>
  <c r="M209" i="28" s="1"/>
  <c r="O209" i="28" s="1"/>
  <c r="L206" i="28"/>
  <c r="M206" i="28" s="1"/>
  <c r="O206" i="28" s="1"/>
  <c r="L204" i="28"/>
  <c r="M204" i="28" s="1"/>
  <c r="O204" i="28" s="1"/>
  <c r="L202" i="28"/>
  <c r="M202" i="28" s="1"/>
  <c r="O202" i="28" s="1"/>
  <c r="L200" i="28"/>
  <c r="M200" i="28" s="1"/>
  <c r="O200" i="28" s="1"/>
  <c r="L198" i="28"/>
  <c r="M198" i="28" s="1"/>
  <c r="O198" i="28" s="1"/>
  <c r="M196" i="28"/>
  <c r="O196" i="28" s="1"/>
  <c r="L196" i="28"/>
  <c r="L194" i="28"/>
  <c r="M194" i="28" s="1"/>
  <c r="O194" i="28" s="1"/>
  <c r="L192" i="28"/>
  <c r="M192" i="28" s="1"/>
  <c r="O192" i="28" s="1"/>
  <c r="L189" i="28"/>
  <c r="M189" i="28" s="1"/>
  <c r="O189" i="28" s="1"/>
  <c r="L187" i="28"/>
  <c r="M187" i="28" s="1"/>
  <c r="O187" i="28" s="1"/>
  <c r="L185" i="28"/>
  <c r="M185" i="28" s="1"/>
  <c r="O185" i="28" s="1"/>
  <c r="L183" i="28"/>
  <c r="M183" i="28" s="1"/>
  <c r="O183" i="28" s="1"/>
  <c r="M180" i="28"/>
  <c r="O180" i="28" s="1"/>
  <c r="M178" i="28"/>
  <c r="O178" i="28" s="1"/>
  <c r="M176" i="28"/>
  <c r="O176" i="28" s="1"/>
  <c r="L173" i="28"/>
  <c r="M173" i="28" s="1"/>
  <c r="O173" i="28" s="1"/>
  <c r="M171" i="28"/>
  <c r="O171" i="28" s="1"/>
  <c r="L171" i="28"/>
  <c r="L169" i="28"/>
  <c r="M169" i="28" s="1"/>
  <c r="O169" i="28" s="1"/>
  <c r="L167" i="28"/>
  <c r="M167" i="28" s="1"/>
  <c r="O167" i="28" s="1"/>
  <c r="L164" i="28"/>
  <c r="M164" i="28" s="1"/>
  <c r="O164" i="28" s="1"/>
  <c r="L162" i="28"/>
  <c r="M162" i="28" s="1"/>
  <c r="O162" i="28" s="1"/>
  <c r="L159" i="28"/>
  <c r="M159" i="28" s="1"/>
  <c r="O159" i="28" s="1"/>
  <c r="L157" i="28"/>
  <c r="M157" i="28" s="1"/>
  <c r="O157" i="28" s="1"/>
  <c r="L155" i="28"/>
  <c r="M155" i="28" s="1"/>
  <c r="O155" i="28" s="1"/>
  <c r="L152" i="28"/>
  <c r="M152" i="28" s="1"/>
  <c r="O152" i="28" s="1"/>
  <c r="L150" i="28"/>
  <c r="M150" i="28" s="1"/>
  <c r="O150" i="28" s="1"/>
  <c r="L147" i="28"/>
  <c r="M147" i="28" s="1"/>
  <c r="O147" i="28" s="1"/>
  <c r="L145" i="28"/>
  <c r="M145" i="28" s="1"/>
  <c r="O145" i="28" s="1"/>
  <c r="L143" i="28"/>
  <c r="M143" i="28" s="1"/>
  <c r="O143" i="28" s="1"/>
  <c r="M141" i="28"/>
  <c r="O141" i="28" s="1"/>
  <c r="M139" i="28"/>
  <c r="O139" i="28" s="1"/>
  <c r="M137" i="28"/>
  <c r="O137" i="28" s="1"/>
  <c r="M135" i="28"/>
  <c r="O135" i="28" s="1"/>
  <c r="L133" i="28"/>
  <c r="M133" i="28" s="1"/>
  <c r="O133" i="28" s="1"/>
  <c r="L131" i="28"/>
  <c r="M131" i="28" s="1"/>
  <c r="O131" i="28" s="1"/>
  <c r="L129" i="28"/>
  <c r="M129" i="28" s="1"/>
  <c r="O129" i="28" s="1"/>
  <c r="M127" i="28"/>
  <c r="O127" i="28" s="1"/>
  <c r="M125" i="28"/>
  <c r="O125" i="28" s="1"/>
  <c r="L123" i="28"/>
  <c r="M123" i="28" s="1"/>
  <c r="O123" i="28" s="1"/>
  <c r="L121" i="28"/>
  <c r="M121" i="28" s="1"/>
  <c r="O121" i="28" s="1"/>
  <c r="L119" i="28"/>
  <c r="M119" i="28" s="1"/>
  <c r="O119" i="28" s="1"/>
  <c r="L117" i="28"/>
  <c r="M117" i="28" s="1"/>
  <c r="O117" i="28" s="1"/>
  <c r="L115" i="28"/>
  <c r="M115" i="28" s="1"/>
  <c r="O115" i="28" s="1"/>
  <c r="L113" i="28"/>
  <c r="M113" i="28" s="1"/>
  <c r="O113" i="28" s="1"/>
  <c r="L111" i="28"/>
  <c r="M111" i="28" s="1"/>
  <c r="O111" i="28" s="1"/>
  <c r="L108" i="28"/>
  <c r="M108" i="28" s="1"/>
  <c r="O108" i="28" s="1"/>
  <c r="L106" i="28"/>
  <c r="M106" i="28" s="1"/>
  <c r="O106" i="28" s="1"/>
  <c r="L104" i="28"/>
  <c r="M104" i="28" s="1"/>
  <c r="O104" i="28" s="1"/>
  <c r="L102" i="28"/>
  <c r="M102" i="28" s="1"/>
  <c r="O102" i="28" s="1"/>
  <c r="L99" i="28"/>
  <c r="M99" i="28" s="1"/>
  <c r="O99" i="28" s="1"/>
  <c r="L97" i="28"/>
  <c r="M97" i="28" s="1"/>
  <c r="O97" i="28" s="1"/>
  <c r="L95" i="28"/>
  <c r="M95" i="28" s="1"/>
  <c r="O95" i="28" s="1"/>
  <c r="L93" i="28"/>
  <c r="M93" i="28" s="1"/>
  <c r="O93" i="28" s="1"/>
  <c r="L91" i="28"/>
  <c r="M91" i="28" s="1"/>
  <c r="O91" i="28" s="1"/>
  <c r="L89" i="28"/>
  <c r="M89" i="28" s="1"/>
  <c r="O89" i="28" s="1"/>
  <c r="L87" i="28"/>
  <c r="M87" i="28" s="1"/>
  <c r="O87" i="28" s="1"/>
  <c r="L85" i="28"/>
  <c r="M85" i="28" s="1"/>
  <c r="O85" i="28" s="1"/>
  <c r="M83" i="28"/>
  <c r="O83" i="28" s="1"/>
  <c r="M81" i="28"/>
  <c r="O81" i="28" s="1"/>
  <c r="L78" i="28"/>
  <c r="M78" i="28" s="1"/>
  <c r="O78" i="28" s="1"/>
  <c r="L76" i="28"/>
  <c r="M76" i="28" s="1"/>
  <c r="O76" i="28" s="1"/>
  <c r="L74" i="28"/>
  <c r="M74" i="28" s="1"/>
  <c r="O74" i="28" s="1"/>
  <c r="L72" i="28"/>
  <c r="M72" i="28" s="1"/>
  <c r="O72" i="28" s="1"/>
  <c r="L70" i="28"/>
  <c r="M70" i="28" s="1"/>
  <c r="O70" i="28" s="1"/>
  <c r="L68" i="28"/>
  <c r="M68" i="28" s="1"/>
  <c r="O68" i="28" s="1"/>
  <c r="M66" i="28"/>
  <c r="O66" i="28" s="1"/>
  <c r="M64" i="28"/>
  <c r="O64" i="28" s="1"/>
  <c r="L61" i="28"/>
  <c r="M61" i="28" s="1"/>
  <c r="O61" i="28" s="1"/>
  <c r="L59" i="28"/>
  <c r="M59" i="28" s="1"/>
  <c r="O59" i="28" s="1"/>
  <c r="L57" i="28"/>
  <c r="M57" i="28" s="1"/>
  <c r="O57" i="28" s="1"/>
  <c r="L55" i="28"/>
  <c r="M55" i="28" s="1"/>
  <c r="O55" i="28" s="1"/>
  <c r="L53" i="28"/>
  <c r="M53" i="28" s="1"/>
  <c r="O53" i="28" s="1"/>
  <c r="L51" i="28"/>
  <c r="M51" i="28" s="1"/>
  <c r="O51" i="28" s="1"/>
  <c r="M49" i="28"/>
  <c r="O49" i="28" s="1"/>
  <c r="M47" i="28"/>
  <c r="O47" i="28" s="1"/>
  <c r="L43" i="28"/>
  <c r="M43" i="28" s="1"/>
  <c r="O43" i="28" s="1"/>
  <c r="L41" i="28"/>
  <c r="M41" i="28" s="1"/>
  <c r="O41" i="28" s="1"/>
  <c r="L39" i="28"/>
  <c r="M39" i="28" s="1"/>
  <c r="O39" i="28" s="1"/>
  <c r="L37" i="28"/>
  <c r="M37" i="28" s="1"/>
  <c r="O37" i="28" s="1"/>
  <c r="L35" i="28"/>
  <c r="M35" i="28" s="1"/>
  <c r="O35" i="28" s="1"/>
  <c r="L33" i="28"/>
  <c r="M33" i="28" s="1"/>
  <c r="O33" i="28" s="1"/>
  <c r="L31" i="28"/>
  <c r="M31" i="28" s="1"/>
  <c r="O31" i="28" s="1"/>
  <c r="L29" i="28"/>
  <c r="M29" i="28" s="1"/>
  <c r="O29" i="28" s="1"/>
  <c r="L27" i="28"/>
  <c r="M27" i="28" s="1"/>
  <c r="O27" i="28" s="1"/>
  <c r="L24" i="28"/>
  <c r="M24" i="28" s="1"/>
  <c r="O24" i="28" s="1"/>
  <c r="L22" i="28"/>
  <c r="M22" i="28" s="1"/>
  <c r="O22" i="28" s="1"/>
  <c r="L20" i="28"/>
  <c r="M20" i="28" s="1"/>
  <c r="O20" i="28" s="1"/>
  <c r="L18" i="28"/>
  <c r="M18" i="28" s="1"/>
  <c r="O18" i="28" s="1"/>
  <c r="L16" i="28"/>
  <c r="M16" i="28" s="1"/>
  <c r="O16" i="28" s="1"/>
  <c r="L14" i="28"/>
  <c r="M14" i="28" s="1"/>
  <c r="O14" i="28" s="1"/>
  <c r="N748" i="28" l="1"/>
  <c r="N9" i="28" s="1"/>
  <c r="N8" i="28" s="1"/>
  <c r="N7" i="28" s="1"/>
  <c r="N6" i="28" s="1"/>
  <c r="L570" i="28"/>
  <c r="L284" i="28"/>
  <c r="L320" i="28"/>
  <c r="M323" i="28"/>
  <c r="O323" i="28" s="1"/>
  <c r="L11" i="28"/>
  <c r="L207" i="28"/>
  <c r="L226" i="28"/>
  <c r="L655" i="28"/>
  <c r="M659" i="28"/>
  <c r="O659" i="28" s="1"/>
  <c r="L47" i="27"/>
  <c r="M9" i="28" l="1"/>
  <c r="O8" i="28" s="1"/>
  <c r="O7" i="28" s="1"/>
  <c r="O6" i="28" s="1"/>
  <c r="O748" i="28"/>
  <c r="O9" i="28" s="1"/>
  <c r="L39" i="27"/>
  <c r="L37" i="27"/>
  <c r="L13" i="27"/>
  <c r="L31" i="27"/>
  <c r="M31" i="27"/>
  <c r="O31" i="27" s="1"/>
  <c r="L56" i="27"/>
  <c r="M56" i="27" s="1"/>
  <c r="O56" i="27" s="1"/>
  <c r="L54" i="27"/>
  <c r="M54" i="27" s="1"/>
  <c r="N51" i="27"/>
  <c r="L49" i="27"/>
  <c r="M49" i="27" s="1"/>
  <c r="O49" i="27" s="1"/>
  <c r="M47" i="27"/>
  <c r="N43" i="27"/>
  <c r="L41" i="27"/>
  <c r="M41" i="27" s="1"/>
  <c r="O41" i="27" s="1"/>
  <c r="M39" i="27"/>
  <c r="O39" i="27" s="1"/>
  <c r="M37" i="27"/>
  <c r="O37" i="27" s="1"/>
  <c r="L35" i="27"/>
  <c r="M35" i="27" s="1"/>
  <c r="O35" i="27" s="1"/>
  <c r="L33" i="27"/>
  <c r="M33" i="27" s="1"/>
  <c r="O33" i="27" s="1"/>
  <c r="L29" i="27"/>
  <c r="M29" i="27" s="1"/>
  <c r="O29" i="27" s="1"/>
  <c r="M27" i="27"/>
  <c r="O27" i="27" s="1"/>
  <c r="L25" i="27"/>
  <c r="M25" i="27" s="1"/>
  <c r="O25" i="27" s="1"/>
  <c r="M23" i="27"/>
  <c r="O23" i="27" s="1"/>
  <c r="M21" i="27"/>
  <c r="O21" i="27" s="1"/>
  <c r="M19" i="27"/>
  <c r="O19" i="27" s="1"/>
  <c r="L17" i="27"/>
  <c r="L11" i="27" s="1"/>
  <c r="L15" i="27"/>
  <c r="M15" i="27" s="1"/>
  <c r="O15" i="27" s="1"/>
  <c r="M13" i="27"/>
  <c r="N9" i="27"/>
  <c r="M8" i="28" l="1"/>
  <c r="M7" i="28" s="1"/>
  <c r="M6" i="28" s="1"/>
  <c r="M17" i="27"/>
  <c r="O17" i="27" s="1"/>
  <c r="N8" i="27"/>
  <c r="N7" i="27" s="1"/>
  <c r="N6" i="27" s="1"/>
  <c r="O13" i="27"/>
  <c r="O9" i="27" s="1"/>
  <c r="M9" i="27"/>
  <c r="M51" i="27"/>
  <c r="O54" i="27"/>
  <c r="O51" i="27" s="1"/>
  <c r="O47" i="27"/>
  <c r="O43" i="27" s="1"/>
  <c r="M43" i="27"/>
  <c r="L45" i="27"/>
  <c r="M8" i="27" l="1"/>
  <c r="M7" i="27" l="1"/>
  <c r="O8" i="27"/>
  <c r="O7" i="27" l="1"/>
  <c r="M6" i="27"/>
  <c r="O6" i="27" l="1"/>
  <c r="L313" i="26" l="1"/>
  <c r="L312" i="26" s="1"/>
  <c r="L311" i="26"/>
  <c r="M311" i="26" s="1"/>
  <c r="O311" i="26" s="1"/>
  <c r="L309" i="26"/>
  <c r="M309" i="26" s="1"/>
  <c r="O309" i="26" s="1"/>
  <c r="L307" i="26"/>
  <c r="M307" i="26" s="1"/>
  <c r="O307" i="26" s="1"/>
  <c r="L305" i="26"/>
  <c r="M305" i="26" s="1"/>
  <c r="O305" i="26" s="1"/>
  <c r="L301" i="26"/>
  <c r="M301" i="26" s="1"/>
  <c r="O301" i="26" s="1"/>
  <c r="L299" i="26"/>
  <c r="M299" i="26" s="1"/>
  <c r="O299" i="26" s="1"/>
  <c r="L297" i="26"/>
  <c r="M297" i="26" s="1"/>
  <c r="O297" i="26" s="1"/>
  <c r="L295" i="26"/>
  <c r="M295" i="26" s="1"/>
  <c r="O295" i="26" s="1"/>
  <c r="O292" i="26"/>
  <c r="O290" i="26"/>
  <c r="L287" i="26"/>
  <c r="M287" i="26" s="1"/>
  <c r="O287" i="26" s="1"/>
  <c r="L285" i="26"/>
  <c r="M285" i="26" s="1"/>
  <c r="O285" i="26" s="1"/>
  <c r="M283" i="26"/>
  <c r="O283" i="26" s="1"/>
  <c r="L283" i="26"/>
  <c r="L280" i="26"/>
  <c r="M280" i="26" s="1"/>
  <c r="O280" i="26" s="1"/>
  <c r="L278" i="26"/>
  <c r="M278" i="26" s="1"/>
  <c r="O278" i="26" s="1"/>
  <c r="L276" i="26"/>
  <c r="M276" i="26" s="1"/>
  <c r="O276" i="26" s="1"/>
  <c r="L274" i="26"/>
  <c r="M274" i="26" s="1"/>
  <c r="O274" i="26" s="1"/>
  <c r="L272" i="26"/>
  <c r="M272" i="26" s="1"/>
  <c r="O272" i="26" s="1"/>
  <c r="L270" i="26"/>
  <c r="M270" i="26" s="1"/>
  <c r="O270" i="26" s="1"/>
  <c r="L267" i="26"/>
  <c r="M267" i="26" s="1"/>
  <c r="O267" i="26" s="1"/>
  <c r="L265" i="26"/>
  <c r="M265" i="26" s="1"/>
  <c r="O265" i="26" s="1"/>
  <c r="L263" i="26"/>
  <c r="M263" i="26" s="1"/>
  <c r="O263" i="26" s="1"/>
  <c r="L261" i="26"/>
  <c r="M261" i="26" s="1"/>
  <c r="O261" i="26" s="1"/>
  <c r="L259" i="26"/>
  <c r="M259" i="26" s="1"/>
  <c r="O259" i="26" s="1"/>
  <c r="L257" i="26"/>
  <c r="M257" i="26" s="1"/>
  <c r="O257" i="26" s="1"/>
  <c r="L255" i="26"/>
  <c r="M255" i="26" s="1"/>
  <c r="O255" i="26" s="1"/>
  <c r="L253" i="26"/>
  <c r="M253" i="26" s="1"/>
  <c r="O253" i="26" s="1"/>
  <c r="L251" i="26"/>
  <c r="M251" i="26" s="1"/>
  <c r="O251" i="26" s="1"/>
  <c r="L249" i="26"/>
  <c r="M249" i="26" s="1"/>
  <c r="O249" i="26" s="1"/>
  <c r="L247" i="26"/>
  <c r="M247" i="26" s="1"/>
  <c r="O247" i="26" s="1"/>
  <c r="L245" i="26"/>
  <c r="M245" i="26" s="1"/>
  <c r="O245" i="26" s="1"/>
  <c r="L243" i="26"/>
  <c r="M243" i="26" s="1"/>
  <c r="O243" i="26" s="1"/>
  <c r="L241" i="26"/>
  <c r="M241" i="26" s="1"/>
  <c r="O241" i="26" s="1"/>
  <c r="L239" i="26"/>
  <c r="M239" i="26" s="1"/>
  <c r="O239" i="26" s="1"/>
  <c r="L237" i="26"/>
  <c r="M237" i="26" s="1"/>
  <c r="O237" i="26" s="1"/>
  <c r="L235" i="26"/>
  <c r="M235" i="26" s="1"/>
  <c r="O235" i="26" s="1"/>
  <c r="M233" i="26"/>
  <c r="O233" i="26" s="1"/>
  <c r="L233" i="26"/>
  <c r="L230" i="26"/>
  <c r="M230" i="26" s="1"/>
  <c r="O230" i="26" s="1"/>
  <c r="L228" i="26"/>
  <c r="M228" i="26" s="1"/>
  <c r="O228" i="26" s="1"/>
  <c r="L225" i="26"/>
  <c r="L224" i="26"/>
  <c r="M224" i="26" s="1"/>
  <c r="O224" i="26" s="1"/>
  <c r="L222" i="26"/>
  <c r="M222" i="26" s="1"/>
  <c r="O222" i="26" s="1"/>
  <c r="L220" i="26"/>
  <c r="M220" i="26" s="1"/>
  <c r="O220" i="26" s="1"/>
  <c r="L218" i="26"/>
  <c r="M218" i="26" s="1"/>
  <c r="O218" i="26" s="1"/>
  <c r="L216" i="26"/>
  <c r="M216" i="26" s="1"/>
  <c r="O216" i="26" s="1"/>
  <c r="L214" i="26"/>
  <c r="M214" i="26" s="1"/>
  <c r="O214" i="26" s="1"/>
  <c r="L212" i="26"/>
  <c r="M212" i="26" s="1"/>
  <c r="O212" i="26" s="1"/>
  <c r="L210" i="26"/>
  <c r="M210" i="26" s="1"/>
  <c r="O210" i="26" s="1"/>
  <c r="O207" i="26"/>
  <c r="O205" i="26"/>
  <c r="L202" i="26"/>
  <c r="M202" i="26" s="1"/>
  <c r="O202" i="26" s="1"/>
  <c r="L200" i="26"/>
  <c r="M200" i="26" s="1"/>
  <c r="O200" i="26" s="1"/>
  <c r="L198" i="26"/>
  <c r="M198" i="26" s="1"/>
  <c r="O198" i="26" s="1"/>
  <c r="L196" i="26"/>
  <c r="M196" i="26" s="1"/>
  <c r="O196" i="26" s="1"/>
  <c r="O193" i="26"/>
  <c r="L191" i="26"/>
  <c r="M191" i="26" s="1"/>
  <c r="O191" i="26" s="1"/>
  <c r="L189" i="26"/>
  <c r="M189" i="26" s="1"/>
  <c r="O189" i="26" s="1"/>
  <c r="L187" i="26"/>
  <c r="M187" i="26" s="1"/>
  <c r="O187" i="26" s="1"/>
  <c r="L185" i="26"/>
  <c r="M185" i="26" s="1"/>
  <c r="O185" i="26" s="1"/>
  <c r="L182" i="26"/>
  <c r="M182" i="26" s="1"/>
  <c r="O182" i="26" s="1"/>
  <c r="L180" i="26"/>
  <c r="M180" i="26" s="1"/>
  <c r="O180" i="26" s="1"/>
  <c r="L178" i="26"/>
  <c r="M178" i="26" s="1"/>
  <c r="O178" i="26" s="1"/>
  <c r="L176" i="26"/>
  <c r="M176" i="26" s="1"/>
  <c r="O176" i="26" s="1"/>
  <c r="L171" i="26"/>
  <c r="M171" i="26" s="1"/>
  <c r="O171" i="26" s="1"/>
  <c r="L169" i="26"/>
  <c r="M169" i="26" s="1"/>
  <c r="O169" i="26" s="1"/>
  <c r="L167" i="26"/>
  <c r="M167" i="26" s="1"/>
  <c r="O167" i="26" s="1"/>
  <c r="L165" i="26"/>
  <c r="M165" i="26" s="1"/>
  <c r="O165" i="26" s="1"/>
  <c r="L163" i="26"/>
  <c r="M163" i="26" s="1"/>
  <c r="O163" i="26" s="1"/>
  <c r="L161" i="26"/>
  <c r="M161" i="26" s="1"/>
  <c r="O161" i="26" s="1"/>
  <c r="L159" i="26"/>
  <c r="M159" i="26" s="1"/>
  <c r="O159" i="26" s="1"/>
  <c r="L157" i="26"/>
  <c r="M157" i="26" s="1"/>
  <c r="O157" i="26" s="1"/>
  <c r="L155" i="26"/>
  <c r="M155" i="26" s="1"/>
  <c r="O155" i="26" s="1"/>
  <c r="L153" i="26"/>
  <c r="M153" i="26" s="1"/>
  <c r="O153" i="26" s="1"/>
  <c r="L150" i="26"/>
  <c r="M150" i="26" s="1"/>
  <c r="O150" i="26" s="1"/>
  <c r="L148" i="26"/>
  <c r="M148" i="26" s="1"/>
  <c r="O148" i="26" s="1"/>
  <c r="L146" i="26"/>
  <c r="M146" i="26" s="1"/>
  <c r="O146" i="26" s="1"/>
  <c r="L143" i="26"/>
  <c r="M143" i="26" s="1"/>
  <c r="O143" i="26" s="1"/>
  <c r="L141" i="26"/>
  <c r="M141" i="26" s="1"/>
  <c r="O141" i="26" s="1"/>
  <c r="L139" i="26"/>
  <c r="M139" i="26" s="1"/>
  <c r="O139" i="26" s="1"/>
  <c r="L137" i="26"/>
  <c r="M137" i="26" s="1"/>
  <c r="O137" i="26" s="1"/>
  <c r="L135" i="26"/>
  <c r="M135" i="26" s="1"/>
  <c r="O135" i="26" s="1"/>
  <c r="L133" i="26"/>
  <c r="M133" i="26" s="1"/>
  <c r="O133" i="26" s="1"/>
  <c r="L131" i="26"/>
  <c r="M131" i="26" s="1"/>
  <c r="O131" i="26" s="1"/>
  <c r="L129" i="26"/>
  <c r="M129" i="26" s="1"/>
  <c r="O129" i="26" s="1"/>
  <c r="L127" i="26"/>
  <c r="M127" i="26" s="1"/>
  <c r="O127" i="26" s="1"/>
  <c r="L124" i="26"/>
  <c r="M124" i="26" s="1"/>
  <c r="O124" i="26" s="1"/>
  <c r="L122" i="26"/>
  <c r="M122" i="26" s="1"/>
  <c r="O122" i="26" s="1"/>
  <c r="L120" i="26"/>
  <c r="M120" i="26" s="1"/>
  <c r="O120" i="26" s="1"/>
  <c r="L118" i="26"/>
  <c r="M118" i="26" s="1"/>
  <c r="O118" i="26" s="1"/>
  <c r="L115" i="26"/>
  <c r="M115" i="26" s="1"/>
  <c r="O115" i="26" s="1"/>
  <c r="M112" i="26"/>
  <c r="O112" i="26" s="1"/>
  <c r="L112" i="26"/>
  <c r="L110" i="26"/>
  <c r="M110" i="26" s="1"/>
  <c r="O110" i="26" s="1"/>
  <c r="L108" i="26"/>
  <c r="M108" i="26" s="1"/>
  <c r="O108" i="26" s="1"/>
  <c r="L106" i="26"/>
  <c r="M106" i="26" s="1"/>
  <c r="O106" i="26" s="1"/>
  <c r="L104" i="26"/>
  <c r="M104" i="26" s="1"/>
  <c r="O104" i="26" s="1"/>
  <c r="L102" i="26"/>
  <c r="M102" i="26" s="1"/>
  <c r="O102" i="26" s="1"/>
  <c r="L99" i="26"/>
  <c r="M99" i="26" s="1"/>
  <c r="O99" i="26" s="1"/>
  <c r="L97" i="26"/>
  <c r="M97" i="26" s="1"/>
  <c r="O97" i="26" s="1"/>
  <c r="M95" i="26"/>
  <c r="O95" i="26" s="1"/>
  <c r="L95" i="26"/>
  <c r="L93" i="26"/>
  <c r="M93" i="26" s="1"/>
  <c r="O93" i="26" s="1"/>
  <c r="L90" i="26"/>
  <c r="M90" i="26" s="1"/>
  <c r="O90" i="26" s="1"/>
  <c r="L88" i="26"/>
  <c r="M88" i="26" s="1"/>
  <c r="O88" i="26" s="1"/>
  <c r="L86" i="26"/>
  <c r="M86" i="26" s="1"/>
  <c r="O86" i="26" s="1"/>
  <c r="L84" i="26"/>
  <c r="M84" i="26" s="1"/>
  <c r="O84" i="26" s="1"/>
  <c r="L82" i="26"/>
  <c r="M82" i="26" s="1"/>
  <c r="O82" i="26" s="1"/>
  <c r="L80" i="26"/>
  <c r="M80" i="26" s="1"/>
  <c r="O80" i="26" s="1"/>
  <c r="L77" i="26"/>
  <c r="M77" i="26" s="1"/>
  <c r="O77" i="26" s="1"/>
  <c r="L75" i="26"/>
  <c r="M75" i="26" s="1"/>
  <c r="O75" i="26" s="1"/>
  <c r="L73" i="26"/>
  <c r="M73" i="26" s="1"/>
  <c r="O73" i="26" s="1"/>
  <c r="L70" i="26"/>
  <c r="M70" i="26" s="1"/>
  <c r="O70" i="26" s="1"/>
  <c r="L68" i="26"/>
  <c r="M68" i="26" s="1"/>
  <c r="O68" i="26" s="1"/>
  <c r="L66" i="26"/>
  <c r="M66" i="26" s="1"/>
  <c r="O66" i="26" s="1"/>
  <c r="L62" i="26"/>
  <c r="M62" i="26" s="1"/>
  <c r="O62" i="26" s="1"/>
  <c r="L60" i="26"/>
  <c r="M60" i="26" s="1"/>
  <c r="O60" i="26" s="1"/>
  <c r="L58" i="26"/>
  <c r="M58" i="26" s="1"/>
  <c r="O58" i="26" s="1"/>
  <c r="L56" i="26"/>
  <c r="M56" i="26" s="1"/>
  <c r="O56" i="26" s="1"/>
  <c r="L54" i="26"/>
  <c r="M54" i="26" s="1"/>
  <c r="O54" i="26" s="1"/>
  <c r="L52" i="26"/>
  <c r="M52" i="26" s="1"/>
  <c r="O52" i="26" s="1"/>
  <c r="L50" i="26"/>
  <c r="M50" i="26" s="1"/>
  <c r="O50" i="26" s="1"/>
  <c r="L48" i="26"/>
  <c r="M48" i="26" s="1"/>
  <c r="O48" i="26" s="1"/>
  <c r="L46" i="26"/>
  <c r="M46" i="26" s="1"/>
  <c r="O46" i="26" s="1"/>
  <c r="L43" i="26"/>
  <c r="M43" i="26" s="1"/>
  <c r="O43" i="26" s="1"/>
  <c r="L41" i="26"/>
  <c r="M41" i="26" s="1"/>
  <c r="O41" i="26" s="1"/>
  <c r="L38" i="26"/>
  <c r="M38" i="26" s="1"/>
  <c r="O38" i="26" s="1"/>
  <c r="L36" i="26"/>
  <c r="M36" i="26" s="1"/>
  <c r="O36" i="26" s="1"/>
  <c r="L34" i="26"/>
  <c r="M34" i="26" s="1"/>
  <c r="O34" i="26" s="1"/>
  <c r="L32" i="26"/>
  <c r="M32" i="26" s="1"/>
  <c r="O32" i="26" s="1"/>
  <c r="L30" i="26"/>
  <c r="M30" i="26" s="1"/>
  <c r="O30" i="26" s="1"/>
  <c r="L28" i="26"/>
  <c r="M28" i="26" s="1"/>
  <c r="O28" i="26" s="1"/>
  <c r="L26" i="26"/>
  <c r="M26" i="26" s="1"/>
  <c r="O26" i="26" s="1"/>
  <c r="L24" i="26"/>
  <c r="M24" i="26" s="1"/>
  <c r="O24" i="26" s="1"/>
  <c r="M22" i="26"/>
  <c r="O22" i="26" s="1"/>
  <c r="L22" i="26"/>
  <c r="N20" i="26"/>
  <c r="L20" i="26"/>
  <c r="M20" i="26" s="1"/>
  <c r="N15" i="26"/>
  <c r="N8" i="26" s="1"/>
  <c r="N7" i="26" s="1"/>
  <c r="N6" i="26" s="1"/>
  <c r="L13" i="26"/>
  <c r="M13" i="26" s="1"/>
  <c r="N9" i="26"/>
  <c r="L11" i="26" l="1"/>
  <c r="L303" i="26"/>
  <c r="M9" i="26"/>
  <c r="O13" i="26"/>
  <c r="O9" i="26" s="1"/>
  <c r="L173" i="26"/>
  <c r="O20" i="26"/>
  <c r="M15" i="26"/>
  <c r="M8" i="26" s="1"/>
  <c r="M7" i="26" s="1"/>
  <c r="M6" i="26" s="1"/>
  <c r="M313" i="26"/>
  <c r="O313" i="26" s="1"/>
  <c r="L17" i="26"/>
  <c r="O15" i="26" l="1"/>
  <c r="O8" i="26" s="1"/>
  <c r="O7" i="26" s="1"/>
  <c r="O6" i="26" s="1"/>
  <c r="L20" i="2" l="1"/>
  <c r="M12" i="17" l="1"/>
  <c r="O88" i="21"/>
  <c r="L86" i="21"/>
  <c r="O85" i="21"/>
  <c r="O84" i="21" s="1"/>
  <c r="O83" i="21" s="1"/>
  <c r="N84" i="21"/>
  <c r="M84" i="21"/>
  <c r="M83" i="21" s="1"/>
  <c r="N83" i="21"/>
  <c r="O81" i="21"/>
  <c r="L81" i="21"/>
  <c r="L79" i="21" s="1"/>
  <c r="O77" i="21"/>
  <c r="L77" i="21"/>
  <c r="O75" i="21"/>
  <c r="L75" i="21"/>
  <c r="O73" i="21"/>
  <c r="L73" i="21"/>
  <c r="O70" i="21"/>
  <c r="L70" i="21"/>
  <c r="O68" i="21"/>
  <c r="L68" i="21"/>
  <c r="O65" i="21"/>
  <c r="L65" i="21"/>
  <c r="O61" i="21"/>
  <c r="O59" i="21"/>
  <c r="O57" i="21"/>
  <c r="O55" i="21"/>
  <c r="O53" i="21"/>
  <c r="O51" i="21"/>
  <c r="O49" i="21"/>
  <c r="O47" i="21"/>
  <c r="O45" i="21"/>
  <c r="O43" i="21"/>
  <c r="O41" i="21"/>
  <c r="O39" i="21"/>
  <c r="O37" i="21"/>
  <c r="O34" i="21"/>
  <c r="L34" i="21"/>
  <c r="O32" i="21"/>
  <c r="L32" i="21"/>
  <c r="O30" i="21"/>
  <c r="L30" i="21"/>
  <c r="O28" i="21"/>
  <c r="L28" i="21"/>
  <c r="O26" i="21"/>
  <c r="L26" i="21"/>
  <c r="O24" i="21"/>
  <c r="L24" i="21"/>
  <c r="O22" i="21"/>
  <c r="L22" i="21"/>
  <c r="O20" i="21"/>
  <c r="L20" i="21"/>
  <c r="O18" i="21"/>
  <c r="L18" i="21"/>
  <c r="O16" i="21"/>
  <c r="L16" i="21"/>
  <c r="O14" i="21"/>
  <c r="L14" i="21"/>
  <c r="N10" i="21"/>
  <c r="M10" i="21"/>
  <c r="O10" i="21" s="1"/>
  <c r="N9" i="21"/>
  <c r="N8" i="21" s="1"/>
  <c r="N7" i="21" s="1"/>
  <c r="N6" i="21" s="1"/>
  <c r="L57" i="20"/>
  <c r="M57" i="20" s="1"/>
  <c r="L55" i="20"/>
  <c r="M55" i="20" s="1"/>
  <c r="N52" i="20"/>
  <c r="L50" i="20"/>
  <c r="M50" i="20" s="1"/>
  <c r="L48" i="20"/>
  <c r="N44" i="20"/>
  <c r="L42" i="20"/>
  <c r="M42" i="20" s="1"/>
  <c r="M40" i="20"/>
  <c r="O40" i="20" s="1"/>
  <c r="L38" i="20"/>
  <c r="M38" i="20" s="1"/>
  <c r="L36" i="20"/>
  <c r="M36" i="20" s="1"/>
  <c r="L34" i="20"/>
  <c r="M34" i="20" s="1"/>
  <c r="L32" i="20"/>
  <c r="M32" i="20" s="1"/>
  <c r="L30" i="20"/>
  <c r="M30" i="20" s="1"/>
  <c r="M28" i="20"/>
  <c r="O28" i="20" s="1"/>
  <c r="L26" i="20"/>
  <c r="M26" i="20" s="1"/>
  <c r="M24" i="20"/>
  <c r="O24" i="20" s="1"/>
  <c r="M22" i="20"/>
  <c r="O22" i="20" s="1"/>
  <c r="M20" i="20"/>
  <c r="O20" i="20" s="1"/>
  <c r="L18" i="20"/>
  <c r="M18" i="20" s="1"/>
  <c r="L16" i="20"/>
  <c r="L14" i="20"/>
  <c r="M14" i="20" s="1"/>
  <c r="N10" i="20"/>
  <c r="M9" i="21" l="1"/>
  <c r="O9" i="21" s="1"/>
  <c r="L11" i="21"/>
  <c r="M8" i="21"/>
  <c r="O8" i="21" s="1"/>
  <c r="M7" i="21"/>
  <c r="O7" i="21" s="1"/>
  <c r="N9" i="20"/>
  <c r="N8" i="20" s="1"/>
  <c r="N7" i="20" s="1"/>
  <c r="O42" i="20"/>
  <c r="L12" i="20"/>
  <c r="L46" i="20"/>
  <c r="M48" i="20"/>
  <c r="O48" i="20" s="1"/>
  <c r="O44" i="20" s="1"/>
  <c r="O18" i="20"/>
  <c r="O55" i="20"/>
  <c r="M52" i="20"/>
  <c r="O26" i="20"/>
  <c r="O34" i="20"/>
  <c r="O50" i="20"/>
  <c r="O57" i="20"/>
  <c r="O32" i="20"/>
  <c r="O36" i="20"/>
  <c r="O14" i="20"/>
  <c r="M16" i="20"/>
  <c r="M10" i="20" s="1"/>
  <c r="O30" i="20"/>
  <c r="O38" i="20"/>
  <c r="M6" i="21" l="1"/>
  <c r="M44" i="20"/>
  <c r="O16" i="20"/>
  <c r="O52" i="20"/>
  <c r="O10" i="20"/>
  <c r="M9" i="20"/>
  <c r="O6" i="21" l="1"/>
  <c r="O9" i="20"/>
  <c r="M8" i="20"/>
  <c r="O8" i="20" l="1"/>
  <c r="M7" i="20"/>
  <c r="O7" i="20" l="1"/>
  <c r="N23" i="2"/>
  <c r="L26" i="2"/>
  <c r="M26" i="2" s="1"/>
  <c r="M23" i="2" s="1"/>
  <c r="M20" i="2"/>
  <c r="N17" i="2"/>
  <c r="O26" i="2" l="1"/>
  <c r="O23" i="2" s="1"/>
  <c r="M17" i="2"/>
  <c r="O20" i="2"/>
  <c r="O17" i="2" s="1"/>
  <c r="N9" i="17" l="1"/>
  <c r="M9" i="17"/>
  <c r="O12" i="17"/>
  <c r="O9" i="17" s="1"/>
  <c r="O8" i="17" s="1"/>
  <c r="O7" i="17" s="1"/>
  <c r="O6" i="17" s="1"/>
  <c r="O33" i="2" l="1"/>
  <c r="N28" i="2"/>
  <c r="N22" i="2" s="1"/>
  <c r="N9" i="2"/>
  <c r="N8" i="2" s="1"/>
  <c r="N8" i="17" l="1"/>
  <c r="N7" i="17" s="1"/>
  <c r="N6" i="17" s="1"/>
  <c r="L31" i="2" l="1"/>
  <c r="M31" i="2" s="1"/>
  <c r="O31" i="2" s="1"/>
  <c r="L15" i="2"/>
  <c r="M15" i="2" s="1"/>
  <c r="O15" i="2" s="1"/>
  <c r="L13" i="2"/>
  <c r="M13" i="2" s="1"/>
  <c r="M9" i="2" l="1"/>
  <c r="M8" i="2" s="1"/>
  <c r="O13" i="2"/>
  <c r="O9" i="2" s="1"/>
  <c r="O8" i="2" s="1"/>
  <c r="O28" i="2"/>
  <c r="O22" i="2" s="1"/>
  <c r="M28" i="2"/>
  <c r="M22" i="2" s="1"/>
  <c r="L11" i="2"/>
  <c r="L11" i="17"/>
  <c r="O7" i="2" l="1"/>
  <c r="O6" i="2" s="1"/>
  <c r="M8" i="17"/>
  <c r="M7" i="17" s="1"/>
  <c r="M6" i="17" s="1"/>
  <c r="D13" i="19" l="1"/>
  <c r="D11" i="19" l="1"/>
  <c r="D12" i="19" l="1"/>
  <c r="D10" i="19"/>
  <c r="D9" i="19"/>
  <c r="D8" i="19" l="1"/>
  <c r="O597" i="13"/>
  <c r="O596" i="13" s="1"/>
  <c r="O595" i="13" s="1"/>
  <c r="N596" i="13"/>
  <c r="N595" i="13" s="1"/>
  <c r="M596" i="13"/>
  <c r="M595" i="13" s="1"/>
  <c r="O594" i="13"/>
  <c r="O593" i="13" s="1"/>
  <c r="O592" i="13" s="1"/>
  <c r="O591" i="13" s="1"/>
  <c r="N593" i="13"/>
  <c r="M593" i="13"/>
  <c r="M592" i="13" s="1"/>
  <c r="N592" i="13"/>
  <c r="M589" i="13"/>
  <c r="O589" i="13" s="1"/>
  <c r="O588" i="13" s="1"/>
  <c r="O587" i="13" s="1"/>
  <c r="O586" i="13" s="1"/>
  <c r="O585" i="13" s="1"/>
  <c r="N588" i="13"/>
  <c r="N587" i="13"/>
  <c r="N586" i="13" s="1"/>
  <c r="M584" i="13"/>
  <c r="M583" i="13" s="1"/>
  <c r="M582" i="13" s="1"/>
  <c r="M581" i="13" s="1"/>
  <c r="M580" i="13" s="1"/>
  <c r="N583" i="13"/>
  <c r="N582" i="13" s="1"/>
  <c r="N581" i="13" s="1"/>
  <c r="N580" i="13" s="1"/>
  <c r="M578" i="13"/>
  <c r="O578" i="13" s="1"/>
  <c r="O577" i="13" s="1"/>
  <c r="N577" i="13"/>
  <c r="L574" i="13"/>
  <c r="L571" i="13"/>
  <c r="L568" i="13"/>
  <c r="L567" i="13" s="1"/>
  <c r="L562" i="13"/>
  <c r="L557" i="13"/>
  <c r="L552" i="13"/>
  <c r="L548" i="13"/>
  <c r="L547" i="13" s="1"/>
  <c r="L542" i="13"/>
  <c r="N540" i="13"/>
  <c r="M536" i="13"/>
  <c r="M535" i="13" s="1"/>
  <c r="N535" i="13"/>
  <c r="M532" i="13"/>
  <c r="M531" i="13" s="1"/>
  <c r="N531" i="13"/>
  <c r="N530" i="13" s="1"/>
  <c r="M528" i="13"/>
  <c r="O528" i="13" s="1"/>
  <c r="M526" i="13"/>
  <c r="O526" i="13" s="1"/>
  <c r="N525" i="13"/>
  <c r="L517" i="13"/>
  <c r="M516" i="13" s="1"/>
  <c r="N515" i="13"/>
  <c r="O514" i="13"/>
  <c r="O513" i="13" s="1"/>
  <c r="N513" i="13"/>
  <c r="M513" i="13"/>
  <c r="M511" i="13"/>
  <c r="O511" i="13" s="1"/>
  <c r="O510" i="13" s="1"/>
  <c r="N510" i="13"/>
  <c r="M507" i="13"/>
  <c r="O507" i="13" s="1"/>
  <c r="L503" i="13"/>
  <c r="L500" i="13"/>
  <c r="M499" i="13"/>
  <c r="O499" i="13" s="1"/>
  <c r="N498" i="13"/>
  <c r="L495" i="13"/>
  <c r="M494" i="13" s="1"/>
  <c r="O494" i="13" s="1"/>
  <c r="L490" i="13"/>
  <c r="L487" i="13"/>
  <c r="L485" i="13"/>
  <c r="L483" i="13" s="1"/>
  <c r="L482" i="13"/>
  <c r="L475" i="13"/>
  <c r="M470" i="13"/>
  <c r="O470" i="13" s="1"/>
  <c r="L469" i="13"/>
  <c r="L466" i="13"/>
  <c r="L463" i="13"/>
  <c r="L462" i="13"/>
  <c r="L461" i="13"/>
  <c r="L460" i="13"/>
  <c r="L455" i="13"/>
  <c r="L452" i="13"/>
  <c r="L451" i="13" s="1"/>
  <c r="M445" i="13" s="1"/>
  <c r="O445" i="13" s="1"/>
  <c r="L437" i="13"/>
  <c r="M431" i="13" s="1"/>
  <c r="O431" i="13" s="1"/>
  <c r="L425" i="13"/>
  <c r="L423" i="13"/>
  <c r="M420" i="13" s="1"/>
  <c r="O420" i="13" s="1"/>
  <c r="L417" i="13"/>
  <c r="L407" i="13"/>
  <c r="L404" i="13"/>
  <c r="L393" i="13"/>
  <c r="L380" i="13"/>
  <c r="O354" i="13"/>
  <c r="M354" i="13"/>
  <c r="L337" i="13"/>
  <c r="L332" i="13"/>
  <c r="L322" i="13"/>
  <c r="L321" i="13"/>
  <c r="L320" i="13"/>
  <c r="L319" i="13"/>
  <c r="L318" i="13" s="1"/>
  <c r="L303" i="13" s="1"/>
  <c r="M302" i="13" s="1"/>
  <c r="L307" i="13"/>
  <c r="N301" i="13"/>
  <c r="N300" i="13" s="1"/>
  <c r="L298" i="13"/>
  <c r="L296" i="13"/>
  <c r="L292" i="13"/>
  <c r="L289" i="13"/>
  <c r="L286" i="13"/>
  <c r="L284" i="13"/>
  <c r="L283" i="13" s="1"/>
  <c r="M278" i="13" s="1"/>
  <c r="L281" i="13"/>
  <c r="L279" i="13"/>
  <c r="N277" i="13"/>
  <c r="L275" i="13"/>
  <c r="L272" i="13"/>
  <c r="L266" i="13"/>
  <c r="L261" i="13"/>
  <c r="N259" i="13"/>
  <c r="L254" i="13"/>
  <c r="M250" i="13"/>
  <c r="O250" i="13" s="1"/>
  <c r="L235" i="13"/>
  <c r="L231" i="13" s="1"/>
  <c r="L230" i="13" s="1"/>
  <c r="L218" i="13"/>
  <c r="L211" i="13" s="1"/>
  <c r="L199" i="13"/>
  <c r="L195" i="13"/>
  <c r="L190" i="13" s="1"/>
  <c r="L178" i="13"/>
  <c r="L174" i="13"/>
  <c r="L160" i="13"/>
  <c r="L156" i="13" s="1"/>
  <c r="L138" i="13"/>
  <c r="L119" i="13"/>
  <c r="L115" i="13" s="1"/>
  <c r="L111" i="13"/>
  <c r="L107" i="13"/>
  <c r="L99" i="13"/>
  <c r="L93" i="13" s="1"/>
  <c r="L90" i="13"/>
  <c r="L89" i="13" s="1"/>
  <c r="L88" i="13" s="1"/>
  <c r="L83" i="13"/>
  <c r="L79" i="13"/>
  <c r="L67" i="13"/>
  <c r="L62" i="13"/>
  <c r="L57" i="13" s="1"/>
  <c r="L58" i="13"/>
  <c r="L54" i="13"/>
  <c r="L46" i="13"/>
  <c r="L40" i="13"/>
  <c r="L35" i="13"/>
  <c r="L28" i="13"/>
  <c r="L22" i="13"/>
  <c r="L16" i="13"/>
  <c r="L13" i="13"/>
  <c r="L12" i="13" s="1"/>
  <c r="N10" i="13"/>
  <c r="N9" i="13" s="1"/>
  <c r="M114" i="13" l="1"/>
  <c r="O114" i="13" s="1"/>
  <c r="O525" i="13"/>
  <c r="M364" i="13"/>
  <c r="O364" i="13" s="1"/>
  <c r="M472" i="13"/>
  <c r="O472" i="13" s="1"/>
  <c r="M510" i="13"/>
  <c r="M541" i="13"/>
  <c r="O541" i="13" s="1"/>
  <c r="O584" i="13"/>
  <c r="O583" i="13" s="1"/>
  <c r="O582" i="13" s="1"/>
  <c r="O581" i="13" s="1"/>
  <c r="O580" i="13" s="1"/>
  <c r="L271" i="13"/>
  <c r="O532" i="13"/>
  <c r="O531" i="13" s="1"/>
  <c r="O536" i="13"/>
  <c r="O535" i="13" s="1"/>
  <c r="N585" i="13"/>
  <c r="N591" i="13"/>
  <c r="M260" i="13"/>
  <c r="L295" i="13"/>
  <c r="M288" i="13" s="1"/>
  <c r="M401" i="13"/>
  <c r="O401" i="13" s="1"/>
  <c r="O278" i="13"/>
  <c r="O516" i="13"/>
  <c r="O515" i="13" s="1"/>
  <c r="M515" i="13"/>
  <c r="M591" i="13"/>
  <c r="N8" i="13"/>
  <c r="N7" i="13" s="1"/>
  <c r="N6" i="13" s="1"/>
  <c r="N5" i="13" s="1"/>
  <c r="L21" i="13"/>
  <c r="M11" i="13" s="1"/>
  <c r="O498" i="13"/>
  <c r="O260" i="13"/>
  <c r="O259" i="13" s="1"/>
  <c r="M259" i="13"/>
  <c r="O302" i="13"/>
  <c r="M551" i="13"/>
  <c r="O551" i="13" s="1"/>
  <c r="M498" i="13"/>
  <c r="M525" i="13"/>
  <c r="M577" i="13"/>
  <c r="M588" i="13"/>
  <c r="M587" i="13" s="1"/>
  <c r="M586" i="13" s="1"/>
  <c r="M585" i="13" s="1"/>
  <c r="O288" i="13" l="1"/>
  <c r="M277" i="13"/>
  <c r="O277" i="13"/>
  <c r="O301" i="13"/>
  <c r="O300" i="13" s="1"/>
  <c r="M301" i="13"/>
  <c r="M300" i="13" s="1"/>
  <c r="O11" i="13"/>
  <c r="O10" i="13" s="1"/>
  <c r="M10" i="13"/>
  <c r="M9" i="13" s="1"/>
  <c r="M540" i="13"/>
  <c r="M530" i="13" s="1"/>
  <c r="O540" i="13"/>
  <c r="O530" i="13" s="1"/>
  <c r="O9" i="13" l="1"/>
  <c r="M8" i="13"/>
  <c r="M7" i="13" s="1"/>
  <c r="M6" i="13" s="1"/>
  <c r="M5" i="13" s="1"/>
  <c r="O8" i="13"/>
  <c r="O7" i="13" s="1"/>
  <c r="O6" i="13" s="1"/>
  <c r="O5" i="13" s="1"/>
  <c r="N7" i="2" l="1"/>
  <c r="N6" i="2" s="1"/>
  <c r="C6" i="19" l="1"/>
  <c r="M7" i="2" l="1"/>
  <c r="M6" i="2" s="1"/>
  <c r="D7" i="19" l="1"/>
  <c r="B6" i="19"/>
  <c r="D6" i="19" l="1"/>
</calcChain>
</file>

<file path=xl/sharedStrings.xml><?xml version="1.0" encoding="utf-8"?>
<sst xmlns="http://schemas.openxmlformats.org/spreadsheetml/2006/main" count="2832" uniqueCount="2008">
  <si>
    <t>(단위 : 천원)</t>
  </si>
  <si>
    <t>과목(2024년도)</t>
    <phoneticPr fontId="3" type="noConversion"/>
  </si>
  <si>
    <t>예산액</t>
  </si>
  <si>
    <t>전년도
예산액</t>
  </si>
  <si>
    <t>증감</t>
  </si>
  <si>
    <t>관·항·세항·목</t>
  </si>
  <si>
    <t>700</t>
  </si>
  <si>
    <t>사업비용</t>
  </si>
  <si>
    <t>710</t>
  </si>
  <si>
    <t>영업비용</t>
  </si>
  <si>
    <t>722</t>
  </si>
  <si>
    <t>대행사업비</t>
  </si>
  <si>
    <t>100</t>
  </si>
  <si>
    <t>인건비</t>
  </si>
  <si>
    <t>101</t>
  </si>
  <si>
    <t>01</t>
  </si>
  <si>
    <t>보수</t>
  </si>
  <si>
    <t>○ 급여</t>
  </si>
  <si>
    <t xml:space="preserve">  o 연봉제</t>
  </si>
  <si>
    <t xml:space="preserve">    ㆍ3급(4명)</t>
  </si>
  <si>
    <t xml:space="preserve">  o 호봉제 기본급</t>
  </si>
  <si>
    <t xml:space="preserve">    ㆍ7급 8호봉</t>
  </si>
  <si>
    <t>○ 제수당</t>
  </si>
  <si>
    <t xml:space="preserve">  o 정근수당가산금</t>
  </si>
  <si>
    <t xml:space="preserve">    ㆍ25년이상</t>
  </si>
  <si>
    <t xml:space="preserve">    ㆍ20년이상~25년미만</t>
  </si>
  <si>
    <t>110,000원 × 24명 × 12월 =</t>
  </si>
  <si>
    <t xml:space="preserve">    ㆍ15년이상~20년미만</t>
  </si>
  <si>
    <t>80,000원 × 20명 × 12월 =</t>
  </si>
  <si>
    <t xml:space="preserve">    ㆍ10년이상~15년미만</t>
  </si>
  <si>
    <t>60,000원 × 15명 × 12월 =</t>
  </si>
  <si>
    <t xml:space="preserve">    ㆍ5년이상~10년미만</t>
  </si>
  <si>
    <t>50,000원 × 3명 × 12월 =</t>
  </si>
  <si>
    <t xml:space="preserve">  o 가족수당</t>
  </si>
  <si>
    <t xml:space="preserve">    ㆍ배우자</t>
  </si>
  <si>
    <t>40,000원 × 80명 × 12월 =</t>
  </si>
  <si>
    <t xml:space="preserve">    ㆍ가족 및 첫째자녀</t>
  </si>
  <si>
    <t xml:space="preserve">    ㆍ둘째자녀</t>
  </si>
  <si>
    <t xml:space="preserve">    ㆍ셋째이후 자녀</t>
  </si>
  <si>
    <t xml:space="preserve">  o 정근수당</t>
  </si>
  <si>
    <t xml:space="preserve">  o 시간외수당</t>
  </si>
  <si>
    <t xml:space="preserve">    ㆍ4급</t>
  </si>
  <si>
    <t xml:space="preserve">    ㆍ5급</t>
  </si>
  <si>
    <t xml:space="preserve">    ㆍ6급</t>
  </si>
  <si>
    <t xml:space="preserve">    ㆍ7급</t>
  </si>
  <si>
    <t xml:space="preserve">  o 연차수당</t>
  </si>
  <si>
    <t xml:space="preserve">    ㆍ연차수당</t>
  </si>
  <si>
    <t xml:space="preserve">  o 야간근무수당</t>
  </si>
  <si>
    <t xml:space="preserve">  o 휴일연장근무수당</t>
  </si>
  <si>
    <t xml:space="preserve">  o 휴일근무수당</t>
  </si>
  <si>
    <t xml:space="preserve">    ㆍ시설관리부</t>
  </si>
  <si>
    <t xml:space="preserve">    ㆍ시민회관체육부</t>
  </si>
  <si>
    <t xml:space="preserve">    ㆍ공원수련관부</t>
  </si>
  <si>
    <t xml:space="preserve">  o 대우수당</t>
  </si>
  <si>
    <t xml:space="preserve">  o 급여성복리후생비</t>
  </si>
  <si>
    <t xml:space="preserve">    ㆍ명절휴가비</t>
  </si>
  <si>
    <t xml:space="preserve">    ㆍ정액급식비</t>
  </si>
  <si>
    <t xml:space="preserve">  o 특수업무수당</t>
  </si>
  <si>
    <t xml:space="preserve">    ㆍ기술업무수당</t>
  </si>
  <si>
    <t xml:space="preserve">      - 3급</t>
  </si>
  <si>
    <t>50,000원 × 2명 × 12월 =</t>
  </si>
  <si>
    <t xml:space="preserve">      - 4~5급</t>
  </si>
  <si>
    <t>30,000원 × 21명 × 12월 =</t>
  </si>
  <si>
    <t xml:space="preserve">      - 6~7급</t>
  </si>
  <si>
    <t>20,000원 × 14명 × 12월 =</t>
  </si>
  <si>
    <t xml:space="preserve">    ㆍ기술업무가산금</t>
  </si>
  <si>
    <t xml:space="preserve">      - 기사</t>
  </si>
  <si>
    <t>30,000원 × 25명 × 12월 =</t>
  </si>
  <si>
    <t xml:space="preserve">      - 산업기사</t>
  </si>
  <si>
    <t>20,000원 × 2명 × 12월 =</t>
  </si>
  <si>
    <t xml:space="preserve">    ㆍ민원업무수당</t>
  </si>
  <si>
    <t>50,000원 × 6명 × 12월 =</t>
  </si>
  <si>
    <t xml:space="preserve">    ㆍ의료업무수당</t>
  </si>
  <si>
    <t xml:space="preserve">  o 특정업무수당</t>
  </si>
  <si>
    <t xml:space="preserve">    ㆍ예산업무수당</t>
  </si>
  <si>
    <t>80,000원 × 1명 × 12월 =</t>
  </si>
  <si>
    <t xml:space="preserve">    ㆍ결산업무수당</t>
  </si>
  <si>
    <t xml:space="preserve">    ㆍ노무업무수당</t>
  </si>
  <si>
    <t>80,000원 × 2명 × 12월 =</t>
  </si>
  <si>
    <t xml:space="preserve">    ㆍ경영평가업무수당</t>
  </si>
  <si>
    <t>80,000원 × 4명 × 12월 =</t>
  </si>
  <si>
    <t xml:space="preserve">    ㆍ감사업무수당</t>
  </si>
  <si>
    <t xml:space="preserve">    ㆍ계약업무수당</t>
  </si>
  <si>
    <t xml:space="preserve">  o 대민업무수당</t>
  </si>
  <si>
    <t xml:space="preserve">  o 업무대행수당</t>
  </si>
  <si>
    <t>200,000원 × 2명 × 12월 =</t>
  </si>
  <si>
    <t xml:space="preserve">  o 특수근무수당</t>
  </si>
  <si>
    <t xml:space="preserve">    ㆍ위험근무수당</t>
  </si>
  <si>
    <t>40,000원 × 15명 × 12월 =</t>
  </si>
  <si>
    <t>○ 임금피크제 절감재원</t>
  </si>
  <si>
    <t>○ 명예퇴직수당</t>
  </si>
  <si>
    <t>1,000원×1식 =</t>
  </si>
  <si>
    <t>○ [시설관리부_교통복지지원팀]</t>
  </si>
  <si>
    <t xml:space="preserve">  o 급여</t>
  </si>
  <si>
    <t xml:space="preserve">    ㆍ호봉제 기본급</t>
  </si>
  <si>
    <t xml:space="preserve">  o 제수당</t>
  </si>
  <si>
    <t xml:space="preserve">    ㆍ정근수당가산금</t>
  </si>
  <si>
    <t xml:space="preserve">      - 25년 이상</t>
  </si>
  <si>
    <t>130,000원 × 1명 × 12월 =</t>
  </si>
  <si>
    <t xml:space="preserve">    ㆍ가족수당</t>
  </si>
  <si>
    <t xml:space="preserve">      - 배우자</t>
  </si>
  <si>
    <t>40,000원 × 2명 × 12월 =</t>
  </si>
  <si>
    <t xml:space="preserve">    ㆍ정근수당</t>
  </si>
  <si>
    <t xml:space="preserve">    ㆍ시간외수당</t>
  </si>
  <si>
    <t xml:space="preserve">      - 4급</t>
  </si>
  <si>
    <t xml:space="preserve">      - 7급</t>
  </si>
  <si>
    <t xml:space="preserve">    ㆍ야간근무수당</t>
  </si>
  <si>
    <t xml:space="preserve">    ㆍ휴일연장근무수당</t>
  </si>
  <si>
    <t xml:space="preserve">    ㆍ휴일근무수당</t>
  </si>
  <si>
    <t xml:space="preserve">    ㆍ급여성복리후생비</t>
  </si>
  <si>
    <t xml:space="preserve">      - 명절휴가비</t>
  </si>
  <si>
    <t xml:space="preserve">      - 정액급식비</t>
  </si>
  <si>
    <t>140,000원 × 2명 × 12월 =</t>
  </si>
  <si>
    <t xml:space="preserve">    ㆍ대민업무수당</t>
  </si>
  <si>
    <t>03</t>
  </si>
  <si>
    <t>공무직(무기계약)근로자보수</t>
  </si>
  <si>
    <t xml:space="preserve">  o 명절휴가비</t>
  </si>
  <si>
    <t xml:space="preserve">  o 정액급식비</t>
  </si>
  <si>
    <t>140,000원 × 32명 × 12월 =</t>
  </si>
  <si>
    <t xml:space="preserve">    ㆍ셋째자녀이상</t>
  </si>
  <si>
    <t>50,000원 × 8명 × 12월 =</t>
  </si>
  <si>
    <t>30,000원 × 8명 × 12월 =</t>
  </si>
  <si>
    <t xml:space="preserve">  o 반장수당</t>
  </si>
  <si>
    <t>30,000원 × 3명 × 12월 =</t>
  </si>
  <si>
    <t xml:space="preserve">  o 조기 및 심야 출퇴근수당</t>
  </si>
  <si>
    <t>○ 업무직(사무기술)(수련관)</t>
  </si>
  <si>
    <t>140,000원 × 4명 × 12월 =</t>
  </si>
  <si>
    <t>30,000원 × 4명 × 12월 =</t>
  </si>
  <si>
    <t>○업무직(현장환경)(시민회관및공원)</t>
  </si>
  <si>
    <t>20,000원 × 5명 × 12월 =</t>
  </si>
  <si>
    <t>30,000원 × 2명 × 12월 =</t>
  </si>
  <si>
    <t>○ 업무직(현장환경)(수련관)</t>
  </si>
  <si>
    <t>140,000원 × 1명 × 12월 =</t>
  </si>
  <si>
    <t>40,000원 × 1명 × 12월 =</t>
  </si>
  <si>
    <t>30,000원 × 1명 × 12월 =</t>
  </si>
  <si>
    <t>○ 상근직(시민회관및공원)</t>
  </si>
  <si>
    <t xml:space="preserve">  o 기본급</t>
  </si>
  <si>
    <t>140,000원 × 11명 × 12월 =</t>
  </si>
  <si>
    <t xml:space="preserve">  o 장기근속수당</t>
  </si>
  <si>
    <t xml:space="preserve">    ㆍ10년이상</t>
  </si>
  <si>
    <t>60,000 × 4명 × 12월 =</t>
  </si>
  <si>
    <t xml:space="preserve">    ㆍ15년이상</t>
  </si>
  <si>
    <t>80,000 × 2명 × 12월 =</t>
  </si>
  <si>
    <t xml:space="preserve">  o 교통보조비</t>
  </si>
  <si>
    <t>100,000원 × 11명 × 12월 =</t>
  </si>
  <si>
    <t>40,000원 × 8명 × 12월 =</t>
  </si>
  <si>
    <t>○ 상근직(수련관)</t>
  </si>
  <si>
    <t>140,000원 × 3명 × 12월 =</t>
  </si>
  <si>
    <t>80,000 × 1명 × 12월 =</t>
  </si>
  <si>
    <t>100,000원 × 3명 × 12월 =</t>
  </si>
  <si>
    <t xml:space="preserve">  o 휴일연장수당</t>
  </si>
  <si>
    <t xml:space="preserve">  o 업무직(사무기술)</t>
  </si>
  <si>
    <t xml:space="preserve">      - 둘째자녀</t>
  </si>
  <si>
    <t xml:space="preserve">    ㆍ반장수당</t>
  </si>
  <si>
    <t>04</t>
  </si>
  <si>
    <t>기간제근로자등보수</t>
  </si>
  <si>
    <t>○ 청년인턴</t>
  </si>
  <si>
    <t>2,410,000원 × 4명 × 4월 =</t>
  </si>
  <si>
    <t>17,297원 × 12시간 × 4명 × 4월 =</t>
  </si>
  <si>
    <t>107</t>
  </si>
  <si>
    <t>퇴직급여</t>
  </si>
  <si>
    <t>○ 퇴직급여충당금</t>
  </si>
  <si>
    <t xml:space="preserve">  o 임직원</t>
  </si>
  <si>
    <t xml:space="preserve">  o 업무직,상근직</t>
  </si>
  <si>
    <t xml:space="preserve">  o 업무직,상근직(수련관)</t>
  </si>
  <si>
    <t xml:space="preserve">  o 시간강사</t>
  </si>
  <si>
    <t>600,000,000원 / 12월 =</t>
  </si>
  <si>
    <t>○ 확정기여형 퇴직연금부담금</t>
  </si>
  <si>
    <t>60,000,000원 / 12월 =</t>
  </si>
  <si>
    <t xml:space="preserve">  o 퇴직급여충당금</t>
  </si>
  <si>
    <t xml:space="preserve">    ㆍ임직원</t>
  </si>
  <si>
    <t xml:space="preserve">    ㆍ업무직(사무기술)</t>
  </si>
  <si>
    <t xml:space="preserve">  o 확정기여형 퇴직연금부담금</t>
  </si>
  <si>
    <t>109</t>
  </si>
  <si>
    <t>평가급및성과금등</t>
  </si>
  <si>
    <t>일반직평가급등</t>
  </si>
  <si>
    <t>○ 자체평가급</t>
  </si>
  <si>
    <t xml:space="preserve">  o 일반직</t>
  </si>
  <si>
    <t>○ 인센티브평가급</t>
  </si>
  <si>
    <t xml:space="preserve">  o 자체평가급</t>
  </si>
  <si>
    <t xml:space="preserve">    ㆍ일반직</t>
  </si>
  <si>
    <t xml:space="preserve">  o 인센티브평가급</t>
  </si>
  <si>
    <t>02</t>
  </si>
  <si>
    <t>공무직(무기계약)근로자평가급등</t>
  </si>
  <si>
    <t>200</t>
  </si>
  <si>
    <t>물건비</t>
  </si>
  <si>
    <t>201</t>
  </si>
  <si>
    <t>일반운영비</t>
  </si>
  <si>
    <t>사무관리비</t>
  </si>
  <si>
    <t>○ 일반수용비</t>
  </si>
  <si>
    <t xml:space="preserve">  o 복사기 및 프린터 소모품</t>
  </si>
  <si>
    <t>800,000원 × 4분기 =</t>
  </si>
  <si>
    <t xml:space="preserve">  o 복사용지</t>
  </si>
  <si>
    <t>1,000,000원 × 4분기 =</t>
  </si>
  <si>
    <t xml:space="preserve">  o 평가 및 행사 등 물품소모품</t>
  </si>
  <si>
    <t>3,000,000원×1식 =</t>
  </si>
  <si>
    <t xml:space="preserve">  o 공사방문 기념품 제작</t>
  </si>
  <si>
    <t>30,000×140개 =</t>
    <phoneticPr fontId="3" type="noConversion"/>
  </si>
  <si>
    <t xml:space="preserve">  o 각종 사무용품(부속실 포함)</t>
  </si>
  <si>
    <t>250,000원×12월 =</t>
  </si>
  <si>
    <t xml:space="preserve">  o 고객만족관련 홍보물 제작</t>
  </si>
  <si>
    <t>500,000원×1식 =</t>
  </si>
  <si>
    <t xml:space="preserve">  o CS홍보판</t>
  </si>
  <si>
    <t>1,200,000원×2회 =</t>
  </si>
  <si>
    <t xml:space="preserve">  o 사원증 제작</t>
    <phoneticPr fontId="3" type="noConversion"/>
  </si>
  <si>
    <t>10,000원×180개 =</t>
  </si>
  <si>
    <t xml:space="preserve">  o 해피스마일 스티커 제작 외</t>
  </si>
  <si>
    <t>200,000원×5종 =</t>
  </si>
  <si>
    <t xml:space="preserve">  o 직원휴양소 소모품 구입</t>
  </si>
  <si>
    <t>1,000,000원×2개소 =</t>
  </si>
  <si>
    <t xml:space="preserve">  o 고객만족 관련 소모품 구입</t>
  </si>
  <si>
    <t xml:space="preserve">  o 기록관 운영용품</t>
  </si>
  <si>
    <t>450,000원×1식 =</t>
  </si>
  <si>
    <t xml:space="preserve">  o 기록백서 관련 홍보물 제작(신설)</t>
    <phoneticPr fontId="3" type="noConversion"/>
  </si>
  <si>
    <t>1,500,000원×1회 =</t>
    <phoneticPr fontId="3" type="noConversion"/>
  </si>
  <si>
    <t xml:space="preserve">  o 기록백서 관련 외장하드 구입(신설)</t>
    <phoneticPr fontId="3" type="noConversion"/>
  </si>
  <si>
    <t>100,000원×5개 =</t>
    <phoneticPr fontId="3" type="noConversion"/>
  </si>
  <si>
    <t xml:space="preserve">  o RFID 전자태그 등 구입(신설)</t>
  </si>
  <si>
    <t xml:space="preserve">    ㆍRFID 전자태그</t>
  </si>
  <si>
    <t>440원×2,500개 =</t>
    <phoneticPr fontId="3" type="noConversion"/>
  </si>
  <si>
    <t xml:space="preserve">    ㆍ메탈용차폐지</t>
  </si>
  <si>
    <t>1,650원×400개 =</t>
    <phoneticPr fontId="3" type="noConversion"/>
  </si>
  <si>
    <t xml:space="preserve">    ㆍPVC 렛지</t>
  </si>
  <si>
    <t>550원×800개 =</t>
    <phoneticPr fontId="3" type="noConversion"/>
  </si>
  <si>
    <t>○ 도서인쇄비</t>
  </si>
  <si>
    <t xml:space="preserve">  o 신문구독료(중앙,지방지)</t>
  </si>
  <si>
    <t>30,000원×10부×12월 =</t>
    <phoneticPr fontId="3" type="noConversion"/>
  </si>
  <si>
    <t xml:space="preserve">  o 예산서,결산서</t>
  </si>
  <si>
    <t>30,000원×50권×4회 =</t>
    <phoneticPr fontId="3" type="noConversion"/>
  </si>
  <si>
    <t xml:space="preserve">  o 직원업무수첩 제작</t>
  </si>
  <si>
    <t>20,000원×300권 =</t>
  </si>
  <si>
    <t xml:space="preserve">  o 경영실적보고서 및 경영계획 등</t>
  </si>
  <si>
    <t>25,000원×7종×50부 =</t>
  </si>
  <si>
    <t xml:space="preserve">  o 사장평가보고서</t>
  </si>
  <si>
    <t>20,000×20부 =</t>
    <phoneticPr fontId="3" type="noConversion"/>
  </si>
  <si>
    <t xml:space="preserve">  o 원가분석보고서</t>
  </si>
  <si>
    <t>12,000원×50부 =</t>
  </si>
  <si>
    <t>○ 임원후보자 모집공고료</t>
  </si>
  <si>
    <t>2,000,000원×1회 =</t>
    <phoneticPr fontId="3" type="noConversion"/>
  </si>
  <si>
    <t>○ 신규직원 웰컴박스 제작</t>
    <phoneticPr fontId="3" type="noConversion"/>
  </si>
  <si>
    <t>40,000원×70명 =</t>
    <phoneticPr fontId="3" type="noConversion"/>
  </si>
  <si>
    <t>○ 비상임이사 활동수당</t>
  </si>
  <si>
    <t>300,000원×5명×12월 =</t>
    <phoneticPr fontId="3" type="noConversion"/>
  </si>
  <si>
    <t>○ 위원회 등 시험·심사·참석 수당</t>
  </si>
  <si>
    <t xml:space="preserve">  o 비상임이사 이사회</t>
  </si>
  <si>
    <t>100,000원×5명×12회 =</t>
    <phoneticPr fontId="3" type="noConversion"/>
  </si>
  <si>
    <t xml:space="preserve">  o 직원채용 서류시험</t>
  </si>
  <si>
    <t>200,000원×3명×10회 =</t>
  </si>
  <si>
    <t xml:space="preserve">  o 직원채용 면접시험(일반직)</t>
  </si>
  <si>
    <t>200,000원×5명×4회 =</t>
  </si>
  <si>
    <t xml:space="preserve">  o 직원채용 면접시험(업무직)</t>
  </si>
  <si>
    <t>200,000원×3명×6회 =</t>
  </si>
  <si>
    <t xml:space="preserve">  o 성과관리위원회</t>
  </si>
  <si>
    <t>200,000원×3명×4회 =</t>
    <phoneticPr fontId="3" type="noConversion"/>
  </si>
  <si>
    <t xml:space="preserve">  o 투자심의위원회</t>
  </si>
  <si>
    <t>300,000원×3명×3회 =</t>
  </si>
  <si>
    <t xml:space="preserve">  o 계약심의위원회</t>
  </si>
  <si>
    <t>200,000원×9명×3회 =</t>
  </si>
  <si>
    <t xml:space="preserve">  o 연구용역위원회</t>
  </si>
  <si>
    <t>200,000원×2명×3회 =</t>
  </si>
  <si>
    <t xml:space="preserve">  o 리스크관리위원회</t>
  </si>
  <si>
    <t>200,000원×3명×4회 =</t>
  </si>
  <si>
    <t xml:space="preserve">  o 인사위원회(소청심사위원회)</t>
  </si>
  <si>
    <t>100,000원×5명×12회 =</t>
  </si>
  <si>
    <t xml:space="preserve">  o 임원추천위원회</t>
  </si>
  <si>
    <t>100,000원×7명×5회 =</t>
    <phoneticPr fontId="3" type="noConversion"/>
  </si>
  <si>
    <t xml:space="preserve">  o 시민참여위원회 및 문제고객심의위원회 등</t>
  </si>
  <si>
    <t>100,000원×13명×4회 =</t>
  </si>
  <si>
    <t xml:space="preserve">  o 시민MOT 평가위원(신설)</t>
    <phoneticPr fontId="3" type="noConversion"/>
  </si>
  <si>
    <t>100,000원×8명×1회 =</t>
    <phoneticPr fontId="3" type="noConversion"/>
  </si>
  <si>
    <t xml:space="preserve">  o 고충심의위원회(성희록성폭력, 직장내괴롭힘)</t>
  </si>
  <si>
    <t>100,000원×4명×4회 =</t>
  </si>
  <si>
    <t xml:space="preserve">  o ESG경영위원회</t>
    <phoneticPr fontId="3" type="noConversion"/>
  </si>
  <si>
    <t>100,000원×5명×2회 =</t>
  </si>
  <si>
    <t>200,000원×5명×2회 =</t>
  </si>
  <si>
    <t xml:space="preserve">  o 기록물평가심의위원회</t>
  </si>
  <si>
    <t>200,000원×3명×2회 =</t>
  </si>
  <si>
    <t xml:space="preserve">  o 정보공개심의위원회</t>
  </si>
  <si>
    <t>200,000원×4명×4회 =</t>
  </si>
  <si>
    <t xml:space="preserve">  o 제안서평가위원회(신설)</t>
    <phoneticPr fontId="3" type="noConversion"/>
  </si>
  <si>
    <t>250,000원×7명×2회 =</t>
    <phoneticPr fontId="3" type="noConversion"/>
  </si>
  <si>
    <t>행사운영비</t>
  </si>
  <si>
    <t>○ 사장협의회 개최비</t>
  </si>
  <si>
    <t>1,300,000원×1회 =</t>
  </si>
  <si>
    <t>○ 경영평가 대비 워크숍</t>
  </si>
  <si>
    <t>3,000,000원×1회 =</t>
    <phoneticPr fontId="3" type="noConversion"/>
  </si>
  <si>
    <t>○ CS 워크숍(신설)</t>
    <phoneticPr fontId="3" type="noConversion"/>
  </si>
  <si>
    <t>○ 전직원 워크숍</t>
  </si>
  <si>
    <t>30,000,000원×1회 =</t>
    <phoneticPr fontId="3" type="noConversion"/>
  </si>
  <si>
    <t>○ 전직원 체육대회</t>
  </si>
  <si>
    <t>20,000,000원×1회 =</t>
  </si>
  <si>
    <t>○ 설문,평가,간담회등 행사운영비</t>
  </si>
  <si>
    <t>○ 자원봉사 물품구입</t>
  </si>
  <si>
    <t>400,000원×7개 =</t>
  </si>
  <si>
    <t>11</t>
  </si>
  <si>
    <t>지급수수료</t>
  </si>
  <si>
    <t>○ 고객만족도 조사 용역(행정안전부)</t>
  </si>
  <si>
    <t>12,000,000원×1식 =</t>
  </si>
  <si>
    <t>○ 고객만족도 조사 용역(자체)</t>
  </si>
  <si>
    <t>20,000,000원×1식 =</t>
  </si>
  <si>
    <t>○ 고객응대모니터링(자체)</t>
  </si>
  <si>
    <t>5,060,000원×1식 =</t>
    <phoneticPr fontId="3" type="noConversion"/>
  </si>
  <si>
    <t>○ 전화응대모니터링(자체)(신설)</t>
    <phoneticPr fontId="3" type="noConversion"/>
  </si>
  <si>
    <t>○ 노사관계우수기업인증</t>
    <phoneticPr fontId="3" type="noConversion"/>
  </si>
  <si>
    <t>5,800,000원×1식 =</t>
    <phoneticPr fontId="3" type="noConversion"/>
  </si>
  <si>
    <t>○ 학습진단 용역</t>
  </si>
  <si>
    <t>4,000,000원×1식 =</t>
    <phoneticPr fontId="3" type="noConversion"/>
  </si>
  <si>
    <t>○ ESG 지속가능보고서 작성(신설)</t>
    <phoneticPr fontId="3" type="noConversion"/>
  </si>
  <si>
    <t>30,000,000원×1식 =</t>
    <phoneticPr fontId="3" type="noConversion"/>
  </si>
  <si>
    <t>○ ESG 지속가능보고서 검증(신설)</t>
    <phoneticPr fontId="3" type="noConversion"/>
  </si>
  <si>
    <t>10,000,000원×1식 =</t>
    <phoneticPr fontId="3" type="noConversion"/>
  </si>
  <si>
    <t>○ 지역사회공헌 인정제 인증</t>
  </si>
  <si>
    <t>550,000원×1식 =</t>
  </si>
  <si>
    <t>○ 조달청 이용수수료</t>
  </si>
  <si>
    <t>300,000원×1식 =</t>
  </si>
  <si>
    <t>○ 불용물품 평가수수료</t>
  </si>
  <si>
    <t>1,500,000원×1식 =</t>
  </si>
  <si>
    <t>○ 부대시설 감정평가수수료</t>
  </si>
  <si>
    <t>1,000,000원×1식 =</t>
  </si>
  <si>
    <t>○ 한국자산관리공사(온비드) 입찰수수료</t>
  </si>
  <si>
    <t>500,000원×1식 =</t>
    <phoneticPr fontId="3" type="noConversion"/>
  </si>
  <si>
    <t>○ QR코드 실시간 고객만족 시스템</t>
  </si>
  <si>
    <t>○ 온라인 화상회의 시스템(줌) 사용료(신설)</t>
    <phoneticPr fontId="3" type="noConversion"/>
  </si>
  <si>
    <t>30,000원×4월 =</t>
    <phoneticPr fontId="3" type="noConversion"/>
  </si>
  <si>
    <t>○ 물품불용 폐기물 처리비</t>
  </si>
  <si>
    <t>300,000원×6톤 =</t>
    <phoneticPr fontId="3" type="noConversion"/>
  </si>
  <si>
    <t>○ 직원채용 대행수수료</t>
    <phoneticPr fontId="3" type="noConversion"/>
  </si>
  <si>
    <t>○ 소송 등 수수료</t>
  </si>
  <si>
    <t>10,000,000원×1식 =</t>
  </si>
  <si>
    <t>○ 자문노무사 수수료</t>
  </si>
  <si>
    <t>330,000원×12월 =</t>
  </si>
  <si>
    <t>○ 자문변호사 수수료</t>
  </si>
  <si>
    <t>○ 기록백서 제작관련 자문료(신설)</t>
    <phoneticPr fontId="3" type="noConversion"/>
  </si>
  <si>
    <t>200,000원×10명×1회 =</t>
    <phoneticPr fontId="3" type="noConversion"/>
  </si>
  <si>
    <t>○ 회계결산감사</t>
    <phoneticPr fontId="3" type="noConversion"/>
  </si>
  <si>
    <t>9,000,000원×1회 =</t>
    <phoneticPr fontId="3" type="noConversion"/>
  </si>
  <si>
    <t>○ 세무조정 수수료</t>
    <phoneticPr fontId="3" type="noConversion"/>
  </si>
  <si>
    <t>500,000원×1회 =</t>
    <phoneticPr fontId="3" type="noConversion"/>
  </si>
  <si>
    <t>○ 법인등기부등본 등 발급 수수료</t>
    <phoneticPr fontId="3" type="noConversion"/>
  </si>
  <si>
    <t>○ 자문회계사 수수료</t>
  </si>
  <si>
    <t>550,000원×12월 =</t>
  </si>
  <si>
    <t>○ 법인등기변경 수수료 등</t>
  </si>
  <si>
    <t>500,000원×1회 =</t>
  </si>
  <si>
    <t>○ 신용카드 등 결제 수수료</t>
  </si>
  <si>
    <t>12,000,000원×12월 =</t>
  </si>
  <si>
    <t>○ 퇴직연금 수수료</t>
  </si>
  <si>
    <t xml:space="preserve">  o 퇴직연금(DB)운용 및 자산수수료</t>
  </si>
  <si>
    <t>13,000,000×1회 =</t>
  </si>
  <si>
    <t xml:space="preserve">  o 퇴직연금(DC)운용 및 자산수수료</t>
  </si>
  <si>
    <t>○ 종합상황실 금고 보안 수수료</t>
  </si>
  <si>
    <t>40,000원×12월 =</t>
  </si>
  <si>
    <t>○ 기록물 폐기 용역</t>
  </si>
  <si>
    <t>2,000,000원×1회 =</t>
  </si>
  <si>
    <t>○ 기록물 정리 용역</t>
    <phoneticPr fontId="3" type="noConversion"/>
  </si>
  <si>
    <t>○ 기록백서 관련 자료 디지털화(신설)</t>
    <phoneticPr fontId="3" type="noConversion"/>
  </si>
  <si>
    <t>10,000,000원×1회 =</t>
    <phoneticPr fontId="3" type="noConversion"/>
  </si>
  <si>
    <t>12</t>
  </si>
  <si>
    <t>교육훈련비</t>
  </si>
  <si>
    <t>○ 기본교육</t>
  </si>
  <si>
    <t>500,000원 × 4명 =</t>
  </si>
  <si>
    <t>○ 전문 교육 및 계층별 전문위탁교육</t>
  </si>
  <si>
    <t>400,000원 × 112명 =</t>
  </si>
  <si>
    <t>○ 임금피크제 대상자 교육</t>
  </si>
  <si>
    <t xml:space="preserve">  o 1년차</t>
    <phoneticPr fontId="3" type="noConversion"/>
  </si>
  <si>
    <t>800,000원 × 4명 =</t>
    <phoneticPr fontId="3" type="noConversion"/>
  </si>
  <si>
    <t xml:space="preserve">  o 2년차</t>
  </si>
  <si>
    <t>○ 평생학습</t>
  </si>
  <si>
    <t xml:space="preserve">  o 집체교육</t>
  </si>
  <si>
    <t>300,000원 × 2회 × 2시간 × 9월 =</t>
  </si>
  <si>
    <t xml:space="preserve">  o 집체교육(윤리·인권)</t>
  </si>
  <si>
    <t>300,000원 × 2회 × 2시간 × 2월 =</t>
  </si>
  <si>
    <t xml:space="preserve">  o 집체교육(홍보역량강화)</t>
  </si>
  <si>
    <t>300,000원 × 2회 × 2시간 =</t>
  </si>
  <si>
    <t xml:space="preserve">  o 독서교육</t>
    <phoneticPr fontId="3" type="noConversion"/>
  </si>
  <si>
    <t>20,000원 × 200명 × 1과목 =</t>
  </si>
  <si>
    <t xml:space="preserve">  o 사이버교육</t>
  </si>
  <si>
    <t>40,000원 × 119명 × 1과목 =</t>
  </si>
  <si>
    <t>○ 신규직원 멘토링</t>
    <phoneticPr fontId="3" type="noConversion"/>
  </si>
  <si>
    <t>750,000원×4회 =</t>
    <phoneticPr fontId="3" type="noConversion"/>
  </si>
  <si>
    <t>○직원 능력개발 지원비</t>
    <phoneticPr fontId="3" type="noConversion"/>
  </si>
  <si>
    <t>300,000원×20명 =</t>
  </si>
  <si>
    <t>○홍보관련 현장전문가 초빙 교육</t>
    <phoneticPr fontId="3" type="noConversion"/>
  </si>
  <si>
    <t>250,000원×4회 =</t>
  </si>
  <si>
    <t>20,000,000원×1명 =</t>
    <phoneticPr fontId="3" type="noConversion"/>
  </si>
  <si>
    <t>○ 교육여비</t>
  </si>
  <si>
    <t xml:space="preserve">  o 숙박</t>
  </si>
  <si>
    <t xml:space="preserve">  o 비숙박</t>
  </si>
  <si>
    <t>13</t>
  </si>
  <si>
    <t>임차료</t>
  </si>
  <si>
    <t>○ 복사기 임차료(칼라)</t>
  </si>
  <si>
    <t>300,000원×3대×12월 =</t>
  </si>
  <si>
    <t>○ 물품관리 프로그램 임차료</t>
  </si>
  <si>
    <t>350,000원×12월 =</t>
  </si>
  <si>
    <t>○ 공기청정기 임차료(대체)</t>
  </si>
  <si>
    <t>630,000원×3대 =</t>
    <phoneticPr fontId="3" type="noConversion"/>
  </si>
  <si>
    <t>○ 홍보물 저작권 프로그램 구독료(신설)</t>
    <phoneticPr fontId="3" type="noConversion"/>
  </si>
  <si>
    <t>1,000,000원×1년 =</t>
    <phoneticPr fontId="3" type="noConversion"/>
  </si>
  <si>
    <t>○ 대관료</t>
  </si>
  <si>
    <t xml:space="preserve">  o 세미나실 사용 대관료</t>
  </si>
  <si>
    <t>70,000원×22회 =</t>
  </si>
  <si>
    <t xml:space="preserve">  o 경영평가장 사용 대관료(신설)</t>
  </si>
  <si>
    <t>150,000원×5일 =</t>
  </si>
  <si>
    <t xml:space="preserve">  o 직원채용 시험장 대관료</t>
  </si>
  <si>
    <t>20,000원×4시간×2개소×12회 =</t>
  </si>
  <si>
    <t xml:space="preserve">  o 집합교육장 대관료</t>
  </si>
  <si>
    <t>30,000원×2회×3시간×11월 =</t>
  </si>
  <si>
    <t xml:space="preserve">  o 업무용차량 임차료(신설)</t>
    <phoneticPr fontId="3" type="noConversion"/>
  </si>
  <si>
    <t>900,000원×12월 =</t>
    <phoneticPr fontId="3" type="noConversion"/>
  </si>
  <si>
    <t>14</t>
  </si>
  <si>
    <t>회의비</t>
  </si>
  <si>
    <t>○ 이사회</t>
  </si>
  <si>
    <t>20,000원×12명×12회 =</t>
    <phoneticPr fontId="3" type="noConversion"/>
  </si>
  <si>
    <t>○ 시민참여위원회 및 문제고객심의위원회 등</t>
  </si>
  <si>
    <t>20,000원×15명×4회 =</t>
  </si>
  <si>
    <t>○ ESG경영위원회(명칭변경)</t>
    <phoneticPr fontId="3" type="noConversion"/>
  </si>
  <si>
    <t>20,000원×10명×2회 =</t>
  </si>
  <si>
    <t>○ 고충심의위원회(성희롱성폭력, 직장내괴롭힘)</t>
  </si>
  <si>
    <t>20,000원×7명×4회 =</t>
  </si>
  <si>
    <t>○ 노사협의회</t>
  </si>
  <si>
    <t>20,000원×10명×6회 =</t>
  </si>
  <si>
    <t>○ 인사위원회(소청심사위원회)</t>
  </si>
  <si>
    <t>20,000원×8명×12회 =</t>
  </si>
  <si>
    <t>○ 임원추천위원회</t>
  </si>
  <si>
    <t>20,000원×9명×1회 =</t>
  </si>
  <si>
    <t>○ 시험위원회</t>
  </si>
  <si>
    <t>20,000원×5명×10회 =</t>
  </si>
  <si>
    <t>20,000원×4명×4회 =</t>
    <phoneticPr fontId="3" type="noConversion"/>
  </si>
  <si>
    <t>○ 리스크관리위원회</t>
    <phoneticPr fontId="3" type="noConversion"/>
  </si>
  <si>
    <t>20,000원×5명×4회 =</t>
    <phoneticPr fontId="3" type="noConversion"/>
  </si>
  <si>
    <t>○ 투자심의위원회</t>
  </si>
  <si>
    <t>20,000원×6명×3회 =</t>
  </si>
  <si>
    <t>15</t>
  </si>
  <si>
    <t>복리후생비</t>
  </si>
  <si>
    <t>○ 직원 및 자녀 학자금 융자 이자 상환금</t>
  </si>
  <si>
    <t>10,000원×20명×12회 =</t>
  </si>
  <si>
    <t>○ 공사행사등 참가자 급식비</t>
  </si>
  <si>
    <t>7,000원×40명×12회 =</t>
  </si>
  <si>
    <t>○ 근로자 지원 프로그램 운영</t>
  </si>
  <si>
    <t>90,000원×277명×10%×7회 =</t>
    <phoneticPr fontId="3" type="noConversion"/>
  </si>
  <si>
    <t>○ 임직원 퇴직자 행사비</t>
  </si>
  <si>
    <t>2,000,000원×1식 =</t>
  </si>
  <si>
    <t>○ 경조사 지원금</t>
  </si>
  <si>
    <t>7,000,000원×1식 =</t>
  </si>
  <si>
    <t>○ 선택적 복지후생비</t>
  </si>
  <si>
    <t>1,300,000원×203명 =</t>
  </si>
  <si>
    <t>45,000원×40명 =</t>
  </si>
  <si>
    <t>40,000원×50명 =</t>
  </si>
  <si>
    <t>○ 직장동호회비</t>
  </si>
  <si>
    <t>○ 봉사단피복비</t>
    <phoneticPr fontId="3" type="noConversion"/>
  </si>
  <si>
    <t>18,000원×50명 =</t>
  </si>
  <si>
    <t xml:space="preserve">    ㆍ직원종합검진</t>
  </si>
  <si>
    <t>16</t>
  </si>
  <si>
    <t>광고선전비</t>
  </si>
  <si>
    <t>○ 주요시책 홍보</t>
  </si>
  <si>
    <t>55,000,000원×1식 =</t>
  </si>
  <si>
    <t>21</t>
  </si>
  <si>
    <t>공공요금및제세</t>
  </si>
  <si>
    <t>○ 공기업학회 회비 등</t>
  </si>
  <si>
    <t>○ 직원휴양소 공과금 등</t>
  </si>
  <si>
    <t>3,000,000원×2개소 =</t>
  </si>
  <si>
    <t>○ 우편물 발송대</t>
  </si>
  <si>
    <t>50,000원×12월 =</t>
    <phoneticPr fontId="3" type="noConversion"/>
  </si>
  <si>
    <t>○ 적십자 회비</t>
  </si>
  <si>
    <t>50,000원×1회 =</t>
  </si>
  <si>
    <t>○ 주민세(종업원분)</t>
  </si>
  <si>
    <t>3,600,000원×12월 =</t>
  </si>
  <si>
    <t>○ 주민세(재산분)</t>
  </si>
  <si>
    <t>14,000,000원×1식 =</t>
  </si>
  <si>
    <t>○ 회계담당자 재정보험</t>
  </si>
  <si>
    <t>500,000원×8관직 =</t>
  </si>
  <si>
    <t>○ 영조물 배상보험</t>
  </si>
  <si>
    <t>26,736,000원×1식 =</t>
  </si>
  <si>
    <t>○ 선택적복지후생비(직원재해보상 단체보험)</t>
  </si>
  <si>
    <t>350,000원×310명 =</t>
  </si>
  <si>
    <t>○ 부가가치세</t>
  </si>
  <si>
    <t>112,500,000원×4회 =</t>
    <phoneticPr fontId="3" type="noConversion"/>
  </si>
  <si>
    <t>○ 보험료</t>
    <phoneticPr fontId="3" type="noConversion"/>
  </si>
  <si>
    <t>1,200,000원×1대 =</t>
    <phoneticPr fontId="3" type="noConversion"/>
  </si>
  <si>
    <t xml:space="preserve">  o 어린이 전용버스(종합,책임)</t>
    <phoneticPr fontId="3" type="noConversion"/>
  </si>
  <si>
    <t>2,200,000원×1대 + 1,500,000원×1대  =</t>
    <phoneticPr fontId="3" type="noConversion"/>
  </si>
  <si>
    <t xml:space="preserve">  o 승용차, 어린이 전용버스(자기부담금)</t>
    <phoneticPr fontId="3" type="noConversion"/>
  </si>
  <si>
    <t>500,000원×4대  =</t>
    <phoneticPr fontId="3" type="noConversion"/>
  </si>
  <si>
    <t>○ 자동차세</t>
    <phoneticPr fontId="3" type="noConversion"/>
  </si>
  <si>
    <t>140,000원×1대 =</t>
    <phoneticPr fontId="3" type="noConversion"/>
  </si>
  <si>
    <t>130,000×1대 + 70,000원×1대 =</t>
    <phoneticPr fontId="3" type="noConversion"/>
  </si>
  <si>
    <t>○ 종합검사비용</t>
    <phoneticPr fontId="3" type="noConversion"/>
  </si>
  <si>
    <t xml:space="preserve">  o 어린이전용버스</t>
    <phoneticPr fontId="3" type="noConversion"/>
  </si>
  <si>
    <t>22</t>
    <phoneticPr fontId="3" type="noConversion"/>
  </si>
  <si>
    <t>차량선박비</t>
    <phoneticPr fontId="3" type="noConversion"/>
  </si>
  <si>
    <t>○ 유류비 및 수리비</t>
    <phoneticPr fontId="3" type="noConversion"/>
  </si>
  <si>
    <t xml:space="preserve">  o 승용차</t>
    <phoneticPr fontId="3" type="noConversion"/>
  </si>
  <si>
    <t>2,000,000원×2대 =</t>
    <phoneticPr fontId="3" type="noConversion"/>
  </si>
  <si>
    <t>202</t>
  </si>
  <si>
    <t>여비</t>
  </si>
  <si>
    <t>국내여비</t>
  </si>
  <si>
    <t>○ 공사업무추진 공통여비</t>
  </si>
  <si>
    <t>○ 경영기획부 업무추진 여비</t>
  </si>
  <si>
    <t>○ 모범우수직원 국내 벤치마킹</t>
  </si>
  <si>
    <t>400,000원×20명 =</t>
    <phoneticPr fontId="3" type="noConversion"/>
  </si>
  <si>
    <t>국외업무여비</t>
  </si>
  <si>
    <t>○ 장기근속 직원 국외연수</t>
  </si>
  <si>
    <t>4,000,000원×2명 =</t>
  </si>
  <si>
    <t>○ 글로벌 정책추진 국외연수</t>
  </si>
  <si>
    <t>203</t>
  </si>
  <si>
    <t>업무추진비</t>
  </si>
  <si>
    <t>07</t>
  </si>
  <si>
    <t>사업업무추진비</t>
  </si>
  <si>
    <t>○ 기관운영 업무추진비</t>
  </si>
  <si>
    <t>22,500,000×1식 =</t>
  </si>
  <si>
    <t>204</t>
  </si>
  <si>
    <t>직무수행경비</t>
  </si>
  <si>
    <t>직급보조비</t>
  </si>
  <si>
    <t>○ 직급보조비</t>
  </si>
  <si>
    <t xml:space="preserve">  o 4급</t>
  </si>
  <si>
    <t xml:space="preserve">  o 5급</t>
  </si>
  <si>
    <t xml:space="preserve">  o 6~7급</t>
  </si>
  <si>
    <t>○ 직책수행비</t>
  </si>
  <si>
    <t xml:space="preserve">  o 부문장</t>
  </si>
  <si>
    <t>100,000원 × 1명 × 12월 =</t>
  </si>
  <si>
    <t xml:space="preserve">  o 부장</t>
  </si>
  <si>
    <t xml:space="preserve">  o 직급보조비</t>
  </si>
  <si>
    <t xml:space="preserve">    ㆍ6~7급</t>
  </si>
  <si>
    <t>214</t>
  </si>
  <si>
    <t>수선유지교체비</t>
  </si>
  <si>
    <t>05</t>
  </si>
  <si>
    <t>수선유지비</t>
  </si>
  <si>
    <t>○ 프로그램 유지관리</t>
  </si>
  <si>
    <t xml:space="preserve">  o 예산회계</t>
  </si>
  <si>
    <t>14,700,000원×1식 =</t>
    <phoneticPr fontId="3" type="noConversion"/>
  </si>
  <si>
    <t xml:space="preserve">  o 대행사업 수입예산</t>
  </si>
  <si>
    <t>600,000원×4회 =</t>
    <phoneticPr fontId="3" type="noConversion"/>
  </si>
  <si>
    <t xml:space="preserve">  o 근태관리시스템</t>
  </si>
  <si>
    <t xml:space="preserve">  o eHR 시스템</t>
  </si>
  <si>
    <t>256,450,000원×13.5%+2,770,000원 =</t>
  </si>
  <si>
    <t xml:space="preserve">  o 인터넷 음악방송</t>
  </si>
  <si>
    <t xml:space="preserve">  o QR코드 실시간 고객만족 시스템</t>
    <phoneticPr fontId="3" type="noConversion"/>
  </si>
  <si>
    <t>5,500,000원×1식 =</t>
  </si>
  <si>
    <t>○ 직원휴양소 유지관리</t>
  </si>
  <si>
    <t>750,000원×2개소 =</t>
  </si>
  <si>
    <t>217</t>
  </si>
  <si>
    <t>관서업무비</t>
  </si>
  <si>
    <t>정원가산업무비</t>
  </si>
  <si>
    <t>○ 정원가산업무비</t>
  </si>
  <si>
    <t>60,000원 × 277명 =</t>
  </si>
  <si>
    <t>부서업무비</t>
  </si>
  <si>
    <t>○ 부서운영업무비</t>
  </si>
  <si>
    <t>300</t>
  </si>
  <si>
    <t>경상이전</t>
  </si>
  <si>
    <t>301</t>
  </si>
  <si>
    <t>일반보전금</t>
  </si>
  <si>
    <t>09</t>
  </si>
  <si>
    <t>행사실비지원금</t>
  </si>
  <si>
    <t>○ 기록백서 사진 공모 기념품(신설)</t>
    <phoneticPr fontId="3" type="noConversion"/>
  </si>
  <si>
    <t>20,000원×200명×1회 =</t>
    <phoneticPr fontId="3" type="noConversion"/>
  </si>
  <si>
    <t>○ 기록백서 인터뷰 답례품(신설)</t>
    <phoneticPr fontId="3" type="noConversion"/>
  </si>
  <si>
    <t>20,000원×100명×1회 =</t>
    <phoneticPr fontId="3" type="noConversion"/>
  </si>
  <si>
    <t>303</t>
  </si>
  <si>
    <t>포상금</t>
  </si>
  <si>
    <t>○ 우수제안 포상 및 기념품</t>
  </si>
  <si>
    <t>10,000원×150건 =</t>
  </si>
  <si>
    <t>○ 제안실행에 따른 포상</t>
  </si>
  <si>
    <t>○ 혁신성과 포상</t>
  </si>
  <si>
    <t>2,000,000원×1식 =</t>
    <phoneticPr fontId="3" type="noConversion"/>
  </si>
  <si>
    <t>304</t>
  </si>
  <si>
    <t>연금부담금등</t>
  </si>
  <si>
    <t>연금부담금</t>
  </si>
  <si>
    <t>○ 국민연금 사용자 부담금</t>
  </si>
  <si>
    <t xml:space="preserve">  o 국민연금 사용자 부담금</t>
  </si>
  <si>
    <t>국민건강보험부담금등</t>
  </si>
  <si>
    <t>○ 건강보험료 사용자 부담금</t>
  </si>
  <si>
    <t>○ 고용보험료 사용자 부담금</t>
  </si>
  <si>
    <t>660,000,000원 × 1.85% =</t>
  </si>
  <si>
    <t>○ 산재보험료 사용자 부담금</t>
  </si>
  <si>
    <t>660,000,000원 × 0.8% =</t>
  </si>
  <si>
    <t xml:space="preserve">  o 건강보험료 사용자 부담금</t>
  </si>
  <si>
    <t xml:space="preserve">  o 고용보험료 사용자 부담금</t>
  </si>
  <si>
    <t xml:space="preserve">  o 산재보험료 사용자 부담금</t>
  </si>
  <si>
    <t>306</t>
  </si>
  <si>
    <t>출연금</t>
  </si>
  <si>
    <t>지방공기업평가원출연금</t>
  </si>
  <si>
    <t>○ 지방공기업평가원 출연금</t>
  </si>
  <si>
    <t>23,900,000원×1식 =</t>
  </si>
  <si>
    <t>770</t>
  </si>
  <si>
    <t>영업외비용</t>
  </si>
  <si>
    <t>779</t>
  </si>
  <si>
    <t>기타영업외비용</t>
  </si>
  <si>
    <t>319</t>
  </si>
  <si>
    <t>지방공기업최고경영자협의체부담금</t>
  </si>
  <si>
    <t>○ 경기도도시공사협의회협회비</t>
  </si>
  <si>
    <t>자본적지출</t>
  </si>
  <si>
    <t>230</t>
  </si>
  <si>
    <t>유형자산취득</t>
  </si>
  <si>
    <t>237</t>
  </si>
  <si>
    <t>공기구비품</t>
  </si>
  <si>
    <t>405</t>
  </si>
  <si>
    <t>자산취득비</t>
  </si>
  <si>
    <t>자산및물품취득비</t>
  </si>
  <si>
    <t>250</t>
  </si>
  <si>
    <t>무형자산및기타비유동자산취득</t>
  </si>
  <si>
    <t>253</t>
  </si>
  <si>
    <t>소프트웨어</t>
  </si>
  <si>
    <t>정보화시스템취득비</t>
  </si>
  <si>
    <t>259</t>
  </si>
  <si>
    <t>기타비유동자산</t>
  </si>
  <si>
    <t>관:(700)사업비용    항:(710)영업비용    세항:(722)대행사업비    목:(100)인건비</t>
  </si>
  <si>
    <t xml:space="preserve">  o 급여</t>
    <phoneticPr fontId="3" type="noConversion"/>
  </si>
  <si>
    <t xml:space="preserve">  o 시간외수당</t>
    <phoneticPr fontId="3" type="noConversion"/>
  </si>
  <si>
    <t>6,000,000원×1식 =</t>
    <phoneticPr fontId="3" type="noConversion"/>
  </si>
  <si>
    <t>1,000,000원×2대 =</t>
    <phoneticPr fontId="3" type="noConversion"/>
  </si>
  <si>
    <t>○ 수영장</t>
    <phoneticPr fontId="3" type="noConversion"/>
  </si>
  <si>
    <t>○ 빙상장</t>
    <phoneticPr fontId="3" type="noConversion"/>
  </si>
  <si>
    <t xml:space="preserve">  o 선택적 복지포인트</t>
    <phoneticPr fontId="2" type="noConversion"/>
  </si>
  <si>
    <t xml:space="preserve">    ㆍ직원 포인트</t>
    <phoneticPr fontId="2" type="noConversion"/>
  </si>
  <si>
    <t xml:space="preserve">    ㆍ직원재해보상 단체보험</t>
    <phoneticPr fontId="2" type="noConversion"/>
  </si>
  <si>
    <t>○ 특수검진(야간, 유해물질, 소음)</t>
    <phoneticPr fontId="3" type="noConversion"/>
  </si>
  <si>
    <t xml:space="preserve">    ㆍ직원종합검진</t>
    <phoneticPr fontId="2" type="noConversion"/>
  </si>
  <si>
    <t>350,000원×203명 =</t>
    <phoneticPr fontId="2" type="noConversion"/>
  </si>
  <si>
    <t xml:space="preserve">    ㆍ초단시간근무자 일반검진</t>
    <phoneticPr fontId="2" type="noConversion"/>
  </si>
  <si>
    <t>1,300,000원×17명 =</t>
    <phoneticPr fontId="2" type="noConversion"/>
  </si>
  <si>
    <t>350,000원×13명 =</t>
    <phoneticPr fontId="2" type="noConversion"/>
  </si>
  <si>
    <t xml:space="preserve">  o 건강검진</t>
    <phoneticPr fontId="2" type="noConversion"/>
  </si>
  <si>
    <t xml:space="preserve">  o 건강검진 </t>
    <phoneticPr fontId="2" type="noConversion"/>
  </si>
  <si>
    <t>20,000원×20명×7회 =</t>
    <phoneticPr fontId="3" type="noConversion"/>
  </si>
  <si>
    <t xml:space="preserve">  o 어린이전용버스(전기)(종합검사)</t>
    <phoneticPr fontId="3" type="noConversion"/>
  </si>
  <si>
    <t>50,000원×1회 =</t>
    <phoneticPr fontId="3" type="noConversion"/>
  </si>
  <si>
    <t xml:space="preserve">  o 어린이전용버스(경유)(정기+종합검사)</t>
    <phoneticPr fontId="3" type="noConversion"/>
  </si>
  <si>
    <t>100,000×1회 + 50,000원×1회 =</t>
    <phoneticPr fontId="3" type="noConversion"/>
  </si>
  <si>
    <t>350,000원×12월 =</t>
    <phoneticPr fontId="2" type="noConversion"/>
  </si>
  <si>
    <t>62,000원×2명×2일×12회 =</t>
    <phoneticPr fontId="2" type="noConversion"/>
  </si>
  <si>
    <t>36,000원×2명×1일×14회 =</t>
    <phoneticPr fontId="2" type="noConversion"/>
  </si>
  <si>
    <t xml:space="preserve">  o 갈등관리 위원회</t>
    <phoneticPr fontId="2" type="noConversion"/>
  </si>
  <si>
    <t>62,000원 × 3명 × 3일 × 7회 =</t>
    <phoneticPr fontId="2" type="noConversion"/>
  </si>
  <si>
    <t>36,000원 × 10명 × 3일 × 9회=</t>
    <phoneticPr fontId="2" type="noConversion"/>
  </si>
  <si>
    <t xml:space="preserve">  o 전기승용차</t>
    <phoneticPr fontId="3" type="noConversion"/>
  </si>
  <si>
    <t xml:space="preserve">  o 어린이 전용버스</t>
    <phoneticPr fontId="3" type="noConversion"/>
  </si>
  <si>
    <t xml:space="preserve">    ㆍ3급(부문장)</t>
    <phoneticPr fontId="3" type="noConversion"/>
  </si>
  <si>
    <t>83,464,560원 =</t>
    <phoneticPr fontId="3" type="noConversion"/>
  </si>
  <si>
    <t>340,079,040원 =</t>
    <phoneticPr fontId="3" type="noConversion"/>
  </si>
  <si>
    <t xml:space="preserve">    ㆍ4급 29호봉</t>
    <phoneticPr fontId="3" type="noConversion"/>
  </si>
  <si>
    <t>4,560,740원 × 23명 × 12월 =</t>
    <phoneticPr fontId="3" type="noConversion"/>
  </si>
  <si>
    <t xml:space="preserve">    ㆍ5급 23호봉</t>
    <phoneticPr fontId="3" type="noConversion"/>
  </si>
  <si>
    <t>3,892,540원 × 35명 × 12월 =</t>
    <phoneticPr fontId="3" type="noConversion"/>
  </si>
  <si>
    <t xml:space="preserve">    ㆍ6급 15호봉</t>
    <phoneticPr fontId="3" type="noConversion"/>
  </si>
  <si>
    <t>3,032,060원 × 19명 × 12월 =</t>
    <phoneticPr fontId="3" type="noConversion"/>
  </si>
  <si>
    <t>2,220,770원 × 24명 × 12월 =</t>
    <phoneticPr fontId="3" type="noConversion"/>
  </si>
  <si>
    <t>130,000원 × 28명 × 12월 =</t>
    <phoneticPr fontId="3" type="noConversion"/>
  </si>
  <si>
    <t xml:space="preserve">    ㆍ부양가족</t>
    <phoneticPr fontId="3" type="noConversion"/>
  </si>
  <si>
    <t>20,000원 × 30명 × 12월 =</t>
    <phoneticPr fontId="3" type="noConversion"/>
  </si>
  <si>
    <t xml:space="preserve">    ㆍ첫째자녀</t>
    <phoneticPr fontId="3" type="noConversion"/>
  </si>
  <si>
    <t>30,000원 × 40명 × 12월 =</t>
    <phoneticPr fontId="3" type="noConversion"/>
  </si>
  <si>
    <t>70,000원 × 20명 × 12월 =</t>
    <phoneticPr fontId="3" type="noConversion"/>
  </si>
  <si>
    <t>110,000원 × 10명 × 12월 =</t>
    <phoneticPr fontId="3" type="noConversion"/>
  </si>
  <si>
    <t>352,043,540원 × 50% × 2회 =</t>
    <phoneticPr fontId="3" type="noConversion"/>
  </si>
  <si>
    <t>39,770원 × 23명 × 5시간 × 12월 =</t>
    <phoneticPr fontId="3" type="noConversion"/>
  </si>
  <si>
    <t>34,240원 × 35명 × 9시간 × 12월 =</t>
    <phoneticPr fontId="3" type="noConversion"/>
  </si>
  <si>
    <t>27,270원 × 19명 × 10시간 × 12월 =</t>
    <phoneticPr fontId="3" type="noConversion"/>
  </si>
  <si>
    <t>20,790원 × 24명 × 10시간 × 12월 =</t>
    <phoneticPr fontId="3" type="noConversion"/>
  </si>
  <si>
    <t>471,522,680원 / 209시간 × 8시간 × 7일 =</t>
    <phoneticPr fontId="3" type="noConversion"/>
  </si>
  <si>
    <t>436,227,380원 / 209시간 × 0.5 × 4시간 × 12월 =</t>
    <phoneticPr fontId="3" type="noConversion"/>
  </si>
  <si>
    <t>436,227,380원 / 209시간 × 0.5 × 2시간 × 12월 =</t>
    <phoneticPr fontId="3" type="noConversion"/>
  </si>
  <si>
    <t>100,143,890원 / 209시간 × 1.5 × 5시간 × 12월 =</t>
    <phoneticPr fontId="3" type="noConversion"/>
  </si>
  <si>
    <t>126,050,620원 / 209시간 × 1.5 × 9시간 × 12월 =</t>
    <phoneticPr fontId="3" type="noConversion"/>
  </si>
  <si>
    <t>115,176,920원 / 209시간 × 1.5 × 5시간 × 12월 =</t>
    <phoneticPr fontId="3" type="noConversion"/>
  </si>
  <si>
    <t>116,867,560원 × 4.1% × 12월 =</t>
    <phoneticPr fontId="3" type="noConversion"/>
  </si>
  <si>
    <t>352,043,540원 × 120% =</t>
    <phoneticPr fontId="3" type="noConversion"/>
  </si>
  <si>
    <t>140,000원 × 101명 × 12월 =</t>
    <phoneticPr fontId="3" type="noConversion"/>
  </si>
  <si>
    <t>80,000원 × 3명 × 12월 =</t>
    <phoneticPr fontId="3" type="noConversion"/>
  </si>
  <si>
    <t xml:space="preserve">    ㆍ안전보건수당</t>
    <phoneticPr fontId="3" type="noConversion"/>
  </si>
  <si>
    <t>50,000원 × 86명 × 12월 =</t>
    <phoneticPr fontId="3" type="noConversion"/>
  </si>
  <si>
    <t>185,000원 × 23명 × 12월 =</t>
    <phoneticPr fontId="3" type="noConversion"/>
  </si>
  <si>
    <t>180,000원 × 35명 × 12월 =</t>
    <phoneticPr fontId="3" type="noConversion"/>
  </si>
  <si>
    <t>175,000원 × 43명 × 12월 =</t>
    <phoneticPr fontId="3" type="noConversion"/>
  </si>
  <si>
    <t>100,000원 × 4명 × 12월 =</t>
    <phoneticPr fontId="3" type="noConversion"/>
  </si>
  <si>
    <t>13,887,480원 =</t>
    <phoneticPr fontId="3" type="noConversion"/>
  </si>
  <si>
    <t xml:space="preserve">      - 4급 32호봉</t>
    <phoneticPr fontId="3" type="noConversion"/>
  </si>
  <si>
    <t>4,659,960원 × 1명 × 12월 =</t>
    <phoneticPr fontId="3" type="noConversion"/>
  </si>
  <si>
    <t xml:space="preserve">      - 7급 5호봉</t>
    <phoneticPr fontId="3" type="noConversion"/>
  </si>
  <si>
    <t>1,970,360원 × 1명 × 12월 =</t>
    <phoneticPr fontId="3" type="noConversion"/>
  </si>
  <si>
    <t>6,630,320원 × 50% × 2회 =</t>
    <phoneticPr fontId="3" type="noConversion"/>
  </si>
  <si>
    <t>40,550원 × 1명 × 5시간 × 12월 =</t>
    <phoneticPr fontId="3" type="noConversion"/>
  </si>
  <si>
    <t>18,820원 × 1명 × 10시간 × 12월 =</t>
    <phoneticPr fontId="3" type="noConversion"/>
  </si>
  <si>
    <t>8,273,340원 / 209시간 × 8시간 × 7일 =</t>
    <phoneticPr fontId="3" type="noConversion"/>
  </si>
  <si>
    <t>8,273,340원 / 209시간 × 0.5 × 4시간 × 12월 =</t>
    <phoneticPr fontId="3" type="noConversion"/>
  </si>
  <si>
    <t>8,273,340원 / 209시간 × 0.5 × 2시간 × 12월 =</t>
    <phoneticPr fontId="3" type="noConversion"/>
  </si>
  <si>
    <t>8,273,340원 / 209시간 × 1.5 × 4시간 × 12월 =</t>
    <phoneticPr fontId="3" type="noConversion"/>
  </si>
  <si>
    <t>6,630,320원 × 120% =</t>
    <phoneticPr fontId="3" type="noConversion"/>
  </si>
  <si>
    <t>185,000원 × 1명 × 12월 =</t>
    <phoneticPr fontId="3" type="noConversion"/>
  </si>
  <si>
    <t>175,000원 × 1명 × 12월 =</t>
    <phoneticPr fontId="3" type="noConversion"/>
  </si>
  <si>
    <t>○ 업무직(사무기술)(시민회관및공원)</t>
    <phoneticPr fontId="3" type="noConversion"/>
  </si>
  <si>
    <t xml:space="preserve">  o 기본급(7호봉)</t>
    <phoneticPr fontId="3" type="noConversion"/>
  </si>
  <si>
    <t>2,364,660원 × 32명 × 12월 =</t>
    <phoneticPr fontId="3" type="noConversion"/>
  </si>
  <si>
    <t>2,364,660원 × 32명 × 120% =</t>
    <phoneticPr fontId="3" type="noConversion"/>
  </si>
  <si>
    <t>20,000원 × 5명 × 12월 =</t>
    <phoneticPr fontId="3" type="noConversion"/>
  </si>
  <si>
    <t>30,000원 × 10명 × 12월 =</t>
    <phoneticPr fontId="3" type="noConversion"/>
  </si>
  <si>
    <t>70,000원 × 5명 × 12월 =</t>
    <phoneticPr fontId="3" type="noConversion"/>
  </si>
  <si>
    <t>110,000원 × 2명 × 12월 =</t>
    <phoneticPr fontId="3" type="noConversion"/>
  </si>
  <si>
    <t xml:space="preserve">  o 민원수당</t>
    <phoneticPr fontId="3" type="noConversion"/>
  </si>
  <si>
    <t>88,446,030원 / 209시간 × 8시간 × 7일 =</t>
    <phoneticPr fontId="3" type="noConversion"/>
  </si>
  <si>
    <t>88,446,030원 / 209시간 × 1.5 × 20시간 × 12월 =</t>
    <phoneticPr fontId="3" type="noConversion"/>
  </si>
  <si>
    <t>88,446,030원 / 209시간 × 0.5 × 22시간 × 12월 =</t>
    <phoneticPr fontId="3" type="noConversion"/>
  </si>
  <si>
    <t>88,446,030원 / 209시간 × 0.5 × 4시간 × 12월 =</t>
    <phoneticPr fontId="3" type="noConversion"/>
  </si>
  <si>
    <t>88,446,030원 / 209시간 × 1.5 × 12시간 × 12월 =</t>
    <phoneticPr fontId="3" type="noConversion"/>
  </si>
  <si>
    <t>2,364,660원 × 4명 × 12월 =</t>
    <phoneticPr fontId="3" type="noConversion"/>
  </si>
  <si>
    <t>2,364,660원 × 4명 × 120% =</t>
    <phoneticPr fontId="3" type="noConversion"/>
  </si>
  <si>
    <t>30,000원 × 1명 × 12월 =</t>
    <phoneticPr fontId="3" type="noConversion"/>
  </si>
  <si>
    <t>70,000원 × 1명 × 12월 =</t>
    <phoneticPr fontId="3" type="noConversion"/>
  </si>
  <si>
    <t>11,085,000원 / 209시간 × 8시간 × 7일 =</t>
    <phoneticPr fontId="3" type="noConversion"/>
  </si>
  <si>
    <t>11,085,000원 / 209시간 × 1.5 × 18시간 × 12월 =</t>
    <phoneticPr fontId="3" type="noConversion"/>
  </si>
  <si>
    <t>11,085,000원 / 209시간 × 0.5 × 8시간 × 12월 =</t>
    <phoneticPr fontId="3" type="noConversion"/>
  </si>
  <si>
    <t>11,085,000원 / 209시간 × 0.5 × 4시간 × 12월 =</t>
    <phoneticPr fontId="3" type="noConversion"/>
  </si>
  <si>
    <t>11,085,000원 / 209시간 × 1.5 × 12시간 × 12월 =</t>
    <phoneticPr fontId="3" type="noConversion"/>
  </si>
  <si>
    <t xml:space="preserve">  o 기본급(4호봉)</t>
    <phoneticPr fontId="3" type="noConversion"/>
  </si>
  <si>
    <t>2,040,440원 × 43명 × 12월 =</t>
    <phoneticPr fontId="3" type="noConversion"/>
  </si>
  <si>
    <t>2,040,440원 × 43명 × 120% =</t>
    <phoneticPr fontId="3" type="noConversion"/>
  </si>
  <si>
    <t>140,000원 × 43명 × 12월 =</t>
    <phoneticPr fontId="3" type="noConversion"/>
  </si>
  <si>
    <t>40,000원 × 12명 × 12월 =</t>
    <phoneticPr fontId="3" type="noConversion"/>
  </si>
  <si>
    <t>20,000원 × 20명 × 12월 =</t>
    <phoneticPr fontId="3" type="noConversion"/>
  </si>
  <si>
    <t>70,000원 × 2명 × 12월 =</t>
    <phoneticPr fontId="3" type="noConversion"/>
  </si>
  <si>
    <t>50,000원 × 4명 × 12월 =</t>
    <phoneticPr fontId="3" type="noConversion"/>
  </si>
  <si>
    <t>50,000원 × 3명 × 12월 =</t>
    <phoneticPr fontId="3" type="noConversion"/>
  </si>
  <si>
    <t>102,913,000원 / 209 × 8시간 × 7일 =</t>
    <phoneticPr fontId="3" type="noConversion"/>
  </si>
  <si>
    <t>102,913,000원 / 209 × 1.5 × 10시간 × 12월 =</t>
    <phoneticPr fontId="3" type="noConversion"/>
  </si>
  <si>
    <t>102,913,000원 / 209 × 0.5 × 8시간 × 12월 =</t>
    <phoneticPr fontId="3" type="noConversion"/>
  </si>
  <si>
    <t>102,913,000원 / 209 × 0.5 × 4시간 × 12월 =</t>
    <phoneticPr fontId="3" type="noConversion"/>
  </si>
  <si>
    <t>102,913,000원 / 209 × 1.5 × 20시간 × 12월 =</t>
    <phoneticPr fontId="3" type="noConversion"/>
  </si>
  <si>
    <t xml:space="preserve">  o 기본급(3호봉)</t>
    <phoneticPr fontId="3" type="noConversion"/>
  </si>
  <si>
    <t>2,011,180원 × 1명 × 12월 =</t>
    <phoneticPr fontId="3" type="noConversion"/>
  </si>
  <si>
    <t>2,011,180원 × 1명 × 120% =</t>
    <phoneticPr fontId="3" type="noConversion"/>
  </si>
  <si>
    <t>2,383,000원 / 209시간 × 8시간 × 7일 =</t>
    <phoneticPr fontId="3" type="noConversion"/>
  </si>
  <si>
    <t>2,383,000원 / 209시간 × 1.5 × 10시간 × 12월 =</t>
    <phoneticPr fontId="3" type="noConversion"/>
  </si>
  <si>
    <t>2,383,000원 / 209시간 × 0.5 × 12시간 × 12월 =</t>
    <phoneticPr fontId="3" type="noConversion"/>
  </si>
  <si>
    <t>2,383,000원 / 209시간 × 0.5 × 10시간 × 12월 =</t>
    <phoneticPr fontId="3" type="noConversion"/>
  </si>
  <si>
    <t>2,383,000원 / 209시간 × 1.5 × 28시간 × 12월 =</t>
    <phoneticPr fontId="3" type="noConversion"/>
  </si>
  <si>
    <t>2,070,000원 × 11명 × 12월 =</t>
    <phoneticPr fontId="3" type="noConversion"/>
  </si>
  <si>
    <t>2,070,000원 × 11명 × 100% =</t>
    <phoneticPr fontId="3" type="noConversion"/>
  </si>
  <si>
    <t>27,798,000원 / 209시간 × 8시간 × 7일 =</t>
    <phoneticPr fontId="3" type="noConversion"/>
  </si>
  <si>
    <t>27,798,000원 / 209시간 × 1.5 × 10시간 × 12월 =</t>
    <phoneticPr fontId="3" type="noConversion"/>
  </si>
  <si>
    <t>27,798,000원 / 209시간 × 0.5 × 8시간 × 12월 =</t>
    <phoneticPr fontId="3" type="noConversion"/>
  </si>
  <si>
    <t>27,798,000원 / 209시간 × 0.5 × 4시간 × 12월 =</t>
    <phoneticPr fontId="3" type="noConversion"/>
  </si>
  <si>
    <t>27,798,000원 / 209시간 × 1.5 × 20시간 × 12월 =</t>
    <phoneticPr fontId="3" type="noConversion"/>
  </si>
  <si>
    <t>2,070,000원 × 3명 × 12월 =</t>
    <phoneticPr fontId="3" type="noConversion"/>
  </si>
  <si>
    <t>2,070,000원 × 3명 × 100% =</t>
    <phoneticPr fontId="3" type="noConversion"/>
  </si>
  <si>
    <t>7,528,000원 / 209시간 × 8시간 × 7일 =</t>
    <phoneticPr fontId="3" type="noConversion"/>
  </si>
  <si>
    <t>7,528,000원 / 209시간 × 1.5 × 10시간 × 12월 =</t>
    <phoneticPr fontId="3" type="noConversion"/>
  </si>
  <si>
    <t>7,528,000원 / 209시간 × 0.5 × 12시간 × 12월 =</t>
    <phoneticPr fontId="3" type="noConversion"/>
  </si>
  <si>
    <t>7,528,000원 / 209시간 × 0.5 × 10시간 × 12월 =</t>
    <phoneticPr fontId="3" type="noConversion"/>
  </si>
  <si>
    <t>7,528,000원 / 209시간 × 1.5 × 28시간 × 12월 =</t>
    <phoneticPr fontId="3" type="noConversion"/>
  </si>
  <si>
    <t xml:space="preserve">    ㆍ기본급(1호봉)</t>
    <phoneticPr fontId="3" type="noConversion"/>
  </si>
  <si>
    <t>2,169,650원 × 15명 × 12월 =</t>
    <phoneticPr fontId="3" type="noConversion"/>
  </si>
  <si>
    <t>2,169,650원 × 15명 × 120% =</t>
    <phoneticPr fontId="3" type="noConversion"/>
  </si>
  <si>
    <t>140,000원 × 15명 × 12월 =</t>
    <phoneticPr fontId="3" type="noConversion"/>
  </si>
  <si>
    <t>40,000원 × 6명 × 12월 =</t>
    <phoneticPr fontId="3" type="noConversion"/>
  </si>
  <si>
    <t xml:space="preserve">      - 부양가족</t>
    <phoneticPr fontId="3" type="noConversion"/>
  </si>
  <si>
    <t xml:space="preserve">      - 첫째자녀</t>
    <phoneticPr fontId="3" type="noConversion"/>
  </si>
  <si>
    <t>30,000원 × 5명 × 12월 =</t>
    <phoneticPr fontId="3" type="noConversion"/>
  </si>
  <si>
    <t>37,930,000원 / 209시간 × 8시간 × 7일 =</t>
    <phoneticPr fontId="3" type="noConversion"/>
  </si>
  <si>
    <t>37,930,000원 / 209시간 × 1.5 × 20시간 × 12월 =</t>
    <phoneticPr fontId="3" type="noConversion"/>
  </si>
  <si>
    <t>37,930,000원 / 209시간 × 0.5 × 8시간 × 12월 =</t>
    <phoneticPr fontId="3" type="noConversion"/>
  </si>
  <si>
    <t>37,930,000원 / 209시간 × 0.5 × 4시간 × 12월 =</t>
    <phoneticPr fontId="3" type="noConversion"/>
  </si>
  <si>
    <t>37,930,000원 / 209시간 × 1.5 × 16시간 × 12월 =</t>
    <phoneticPr fontId="3" type="noConversion"/>
  </si>
  <si>
    <t>15,000원 × 8시간 × 180일 =</t>
    <phoneticPr fontId="3" type="noConversion"/>
  </si>
  <si>
    <t>22,500원 × 4시간 × 180일 =</t>
    <phoneticPr fontId="3" type="noConversion"/>
  </si>
  <si>
    <t xml:space="preserve">  o 야간근무수당</t>
    <phoneticPr fontId="3" type="noConversion"/>
  </si>
  <si>
    <t>7,500원 × 4시간 × 180일 =</t>
    <phoneticPr fontId="3" type="noConversion"/>
  </si>
  <si>
    <t xml:space="preserve">  o 식비</t>
    <phoneticPr fontId="3" type="noConversion"/>
  </si>
  <si>
    <t>5,000원 ×180일 =</t>
    <phoneticPr fontId="3" type="noConversion"/>
  </si>
  <si>
    <t>4,869,277,000원 / 12월 =</t>
    <phoneticPr fontId="3" type="noConversion"/>
  </si>
  <si>
    <t>3,970,067,000원 / 12월 =</t>
    <phoneticPr fontId="3" type="noConversion"/>
  </si>
  <si>
    <t>385,293,000원 / 12월 =</t>
    <phoneticPr fontId="3" type="noConversion"/>
  </si>
  <si>
    <t>3,156,370,000원 / 12월 =</t>
    <phoneticPr fontId="3" type="noConversion"/>
  </si>
  <si>
    <t>86,400,000원 / 12월 =</t>
    <phoneticPr fontId="3" type="noConversion"/>
  </si>
  <si>
    <t>30,000,000원 / 12월 =</t>
    <phoneticPr fontId="3" type="noConversion"/>
  </si>
  <si>
    <t>41,912,000원 / 12월 =</t>
    <phoneticPr fontId="3" type="noConversion"/>
  </si>
  <si>
    <t>506,594,000원 / 12월 =</t>
    <phoneticPr fontId="3" type="noConversion"/>
  </si>
  <si>
    <t>86,840,000원 / 12월 =</t>
    <phoneticPr fontId="3" type="noConversion"/>
  </si>
  <si>
    <t>504,923,000원 × 100% =</t>
    <phoneticPr fontId="3" type="noConversion"/>
  </si>
  <si>
    <t>504,923,000원  × 150% =</t>
    <phoneticPr fontId="3" type="noConversion"/>
  </si>
  <si>
    <t>8,687,000원 × 100% =</t>
    <phoneticPr fontId="3" type="noConversion"/>
  </si>
  <si>
    <t>8,687,000원  × 150% =</t>
    <phoneticPr fontId="3" type="noConversion"/>
  </si>
  <si>
    <t>219,158,000원 × 100% =</t>
    <phoneticPr fontId="3" type="noConversion"/>
  </si>
  <si>
    <t>20,996,000원 × 100% =</t>
    <phoneticPr fontId="3" type="noConversion"/>
  </si>
  <si>
    <t>219,158,000원 × 150% =</t>
    <phoneticPr fontId="3" type="noConversion"/>
  </si>
  <si>
    <t>20,996,000원 × 150% =</t>
    <phoneticPr fontId="3" type="noConversion"/>
  </si>
  <si>
    <t>37,930,000원 × 100% =</t>
    <phoneticPr fontId="3" type="noConversion"/>
  </si>
  <si>
    <t>37,930,000원 × 150% =</t>
    <phoneticPr fontId="3" type="noConversion"/>
  </si>
  <si>
    <t>8,396,643,000원 ×4.5% =</t>
    <phoneticPr fontId="3" type="noConversion"/>
  </si>
  <si>
    <t>4,046,555,000원 × 4.5% × 0.8 =</t>
    <phoneticPr fontId="3" type="noConversion"/>
  </si>
  <si>
    <t>385,293,000원 × 4.5% × 0.8 =</t>
    <phoneticPr fontId="3" type="noConversion"/>
  </si>
  <si>
    <t>660,000,000원 × 4.5% =</t>
    <phoneticPr fontId="3" type="noConversion"/>
  </si>
  <si>
    <t>138,099,000원 × 4.5% =</t>
    <phoneticPr fontId="3" type="noConversion"/>
  </si>
  <si>
    <t>698,370,000원 × 4.5% =</t>
    <phoneticPr fontId="3" type="noConversion"/>
  </si>
  <si>
    <t>8,396,643,000원 × 3.999% =</t>
    <phoneticPr fontId="3" type="noConversion"/>
  </si>
  <si>
    <t>4,046,555,000원  × 3.999% =</t>
    <phoneticPr fontId="3" type="noConversion"/>
  </si>
  <si>
    <t>385,293,000원 × 3.999% =</t>
    <phoneticPr fontId="3" type="noConversion"/>
  </si>
  <si>
    <t>660,000,000원 × 3.999% =</t>
    <phoneticPr fontId="3" type="noConversion"/>
  </si>
  <si>
    <t>8,396,643,000원 × 1.85% =</t>
    <phoneticPr fontId="3" type="noConversion"/>
  </si>
  <si>
    <t>4,046,555,000원  × 1.85% =</t>
    <phoneticPr fontId="3" type="noConversion"/>
  </si>
  <si>
    <t>385,293,000원 × 1.85% =</t>
    <phoneticPr fontId="3" type="noConversion"/>
  </si>
  <si>
    <t>8,396,643,000원 × 0.8% =</t>
    <phoneticPr fontId="3" type="noConversion"/>
  </si>
  <si>
    <t>4,046,555,000원  × 0.8% =</t>
    <phoneticPr fontId="3" type="noConversion"/>
  </si>
  <si>
    <t>385,293,000원 × 0.8% =</t>
    <phoneticPr fontId="3" type="noConversion"/>
  </si>
  <si>
    <t>138,099,000원 × 3.999% =</t>
    <phoneticPr fontId="3" type="noConversion"/>
  </si>
  <si>
    <t>698,370,000원 × 3.999% =</t>
    <phoneticPr fontId="3" type="noConversion"/>
  </si>
  <si>
    <t>138,099,000원 × 1.85% =</t>
    <phoneticPr fontId="3" type="noConversion"/>
  </si>
  <si>
    <t>698,370,000원 × 1.85% =</t>
    <phoneticPr fontId="3" type="noConversion"/>
  </si>
  <si>
    <t>138,099,000원 × 0.8% =</t>
    <phoneticPr fontId="3" type="noConversion"/>
  </si>
  <si>
    <t>698,370,000원 × 0.8% =</t>
    <phoneticPr fontId="3" type="noConversion"/>
  </si>
  <si>
    <t>100,000원×274명 =</t>
    <phoneticPr fontId="2" type="noConversion"/>
  </si>
  <si>
    <t>○ 개방형 쉼터(도서관) 조성</t>
    <phoneticPr fontId="2" type="noConversion"/>
  </si>
  <si>
    <t>8,000,000원×1개 =</t>
    <phoneticPr fontId="2" type="noConversion"/>
  </si>
  <si>
    <t>[ 경영기획부 ]</t>
    <phoneticPr fontId="2" type="noConversion"/>
  </si>
  <si>
    <t>○ 성과관리위원회(신설)</t>
    <phoneticPr fontId="2" type="noConversion"/>
  </si>
  <si>
    <t>20,000원×5명×4회 =</t>
    <phoneticPr fontId="2" type="noConversion"/>
  </si>
  <si>
    <t>○핵심리더 양성교육(관리자 장기교육파견)(신설)</t>
    <phoneticPr fontId="3" type="noConversion"/>
  </si>
  <si>
    <t>100,000원×203명 =</t>
    <phoneticPr fontId="2" type="noConversion"/>
  </si>
  <si>
    <t>100,000원×13명 =</t>
    <phoneticPr fontId="2" type="noConversion"/>
  </si>
  <si>
    <t xml:space="preserve">  o 직원문화관람지원(신설)</t>
    <phoneticPr fontId="3" type="noConversion"/>
  </si>
  <si>
    <t>○ 직원문화관람지원(신설)</t>
    <phoneticPr fontId="3" type="noConversion"/>
  </si>
  <si>
    <t>○ 직원격려상품권(신설)</t>
    <phoneticPr fontId="3" type="noConversion"/>
  </si>
  <si>
    <t>70,000원×203명 =</t>
    <phoneticPr fontId="2" type="noConversion"/>
  </si>
  <si>
    <t xml:space="preserve">  o 직원격려상품권(신설)</t>
    <phoneticPr fontId="3" type="noConversion"/>
  </si>
  <si>
    <t>70,000원×13명 =</t>
    <phoneticPr fontId="2" type="noConversion"/>
  </si>
  <si>
    <t>차량은 3대, 자기부담금은 왜 4대?</t>
    <phoneticPr fontId="2" type="noConversion"/>
  </si>
  <si>
    <t>합계</t>
    <phoneticPr fontId="2" type="noConversion"/>
  </si>
  <si>
    <t>합계</t>
    <phoneticPr fontId="2" type="noConversion"/>
  </si>
  <si>
    <t xml:space="preserve">출퇴근? 인원 선발 방식? 공백에 대한 대안 등 계획서 </t>
    <phoneticPr fontId="2" type="noConversion"/>
  </si>
  <si>
    <t>주요사업설명서</t>
    <phoneticPr fontId="2" type="noConversion"/>
  </si>
  <si>
    <t>법적사항 여부</t>
  </si>
  <si>
    <t>증액사유, 주요사업설명서도 교통복지팀, 주차 포함</t>
    <phoneticPr fontId="2" type="noConversion"/>
  </si>
  <si>
    <t>시도 하니까?</t>
    <phoneticPr fontId="2" type="noConversion"/>
  </si>
  <si>
    <t>기대효과 대비 금액이 너무 많다.</t>
    <phoneticPr fontId="2" type="noConversion"/>
  </si>
  <si>
    <t>작성 목적? 법적 근거?</t>
    <phoneticPr fontId="2" type="noConversion"/>
  </si>
  <si>
    <t>1천만원 증액으로 가능한 것인가? 계획서 제출, 채용서류시험 6백만원과의 관계</t>
    <phoneticPr fontId="2" type="noConversion"/>
  </si>
  <si>
    <t>채용대행사업과의 차이</t>
    <phoneticPr fontId="2" type="noConversion"/>
  </si>
  <si>
    <t>도시기획부</t>
    <phoneticPr fontId="2" type="noConversion"/>
  </si>
  <si>
    <t>5,000,000원×1식 =</t>
    <phoneticPr fontId="2" type="noConversion"/>
  </si>
  <si>
    <t>10,000,000원×4회 =</t>
    <phoneticPr fontId="3" type="noConversion"/>
  </si>
  <si>
    <t>3,000,000명×10명 =</t>
    <phoneticPr fontId="2" type="noConversion"/>
  </si>
  <si>
    <t>○ ESG경영발전협의체 회의 등 개최비(신설)</t>
    <phoneticPr fontId="3" type="noConversion"/>
  </si>
  <si>
    <t>누락분추가</t>
    <phoneticPr fontId="2" type="noConversion"/>
  </si>
  <si>
    <t>○ 공사 창립 25주년 기념행사(신설)</t>
    <phoneticPr fontId="3" type="noConversion"/>
  </si>
  <si>
    <t>10,000원×300명 =</t>
    <phoneticPr fontId="2" type="noConversion"/>
  </si>
  <si>
    <t>추가</t>
    <phoneticPr fontId="2" type="noConversion"/>
  </si>
  <si>
    <t>과목</t>
    <phoneticPr fontId="3" type="noConversion"/>
  </si>
  <si>
    <t>장·관·항·목</t>
    <phoneticPr fontId="2" type="noConversion"/>
  </si>
  <si>
    <t>200</t>
    <phoneticPr fontId="2" type="noConversion"/>
  </si>
  <si>
    <t>장:(200)세외수입    관:(210)경상적세외수입    항:(214)사업수입</t>
    <phoneticPr fontId="2" type="noConversion"/>
  </si>
  <si>
    <t>세외수입</t>
    <phoneticPr fontId="2" type="noConversion"/>
  </si>
  <si>
    <t>210</t>
    <phoneticPr fontId="2" type="noConversion"/>
  </si>
  <si>
    <t>경상적세외수입</t>
    <phoneticPr fontId="2" type="noConversion"/>
  </si>
  <si>
    <t>214</t>
    <phoneticPr fontId="2" type="noConversion"/>
  </si>
  <si>
    <t>사업수입</t>
    <phoneticPr fontId="2" type="noConversion"/>
  </si>
  <si>
    <t>기타사업수입</t>
    <phoneticPr fontId="2" type="noConversion"/>
  </si>
  <si>
    <t>○ 직원휴양소 사용료 수입</t>
    <phoneticPr fontId="2" type="noConversion"/>
  </si>
  <si>
    <t xml:space="preserve">  o 고성 휴양소</t>
    <phoneticPr fontId="2" type="noConversion"/>
  </si>
  <si>
    <t>20,000원 × 170일 =</t>
    <phoneticPr fontId="3" type="noConversion"/>
  </si>
  <si>
    <t xml:space="preserve">  o 단양 휴양소</t>
    <phoneticPr fontId="2" type="noConversion"/>
  </si>
  <si>
    <t>20,000원 × 80일 =</t>
    <phoneticPr fontId="3" type="noConversion"/>
  </si>
  <si>
    <t>220</t>
    <phoneticPr fontId="2" type="noConversion"/>
  </si>
  <si>
    <t>임시적세외수입</t>
  </si>
  <si>
    <t>임시적세외수입</t>
    <phoneticPr fontId="2" type="noConversion"/>
  </si>
  <si>
    <t>224</t>
    <phoneticPr fontId="2" type="noConversion"/>
  </si>
  <si>
    <t>기타수입</t>
    <phoneticPr fontId="2" type="noConversion"/>
  </si>
  <si>
    <t>○ 불용품 매각수입 등</t>
    <phoneticPr fontId="2" type="noConversion"/>
  </si>
  <si>
    <t>15,000,000원 × 1식 =</t>
    <phoneticPr fontId="2" type="noConversion"/>
  </si>
  <si>
    <t>그외수입</t>
    <phoneticPr fontId="2" type="noConversion"/>
  </si>
  <si>
    <t>○ 이자수입</t>
    <phoneticPr fontId="2" type="noConversion"/>
  </si>
  <si>
    <t>○ 교육환급금</t>
    <phoneticPr fontId="2" type="noConversion"/>
  </si>
  <si>
    <t>100,000원 × 5명 =</t>
    <phoneticPr fontId="3" type="noConversion"/>
  </si>
  <si>
    <t>○ 외부기관 지원금 및 장려금 등</t>
    <phoneticPr fontId="2" type="noConversion"/>
  </si>
  <si>
    <t>211</t>
    <phoneticPr fontId="2" type="noConversion"/>
  </si>
  <si>
    <t>재산임대수입</t>
    <phoneticPr fontId="2" type="noConversion"/>
  </si>
  <si>
    <t>211-2</t>
    <phoneticPr fontId="2" type="noConversion"/>
  </si>
  <si>
    <t>공유재산임대료</t>
  </si>
  <si>
    <t>○ 시민회관 재위탁시설 임대료 수입</t>
    <phoneticPr fontId="3" type="noConversion"/>
  </si>
  <si>
    <t xml:space="preserve">  o 과천문화재단 관리비 및 공과금</t>
    <phoneticPr fontId="3" type="noConversion"/>
  </si>
  <si>
    <t xml:space="preserve">  o 청소년문화의집 임대료 및 공과금</t>
    <phoneticPr fontId="3" type="noConversion"/>
  </si>
  <si>
    <t xml:space="preserve">  o 평생학습센터 임대료 및 공과금</t>
    <phoneticPr fontId="3" type="noConversion"/>
  </si>
  <si>
    <t xml:space="preserve">  o 사회경제마을공동체 임대료 및 공과금</t>
    <phoneticPr fontId="3" type="noConversion"/>
  </si>
  <si>
    <t xml:space="preserve">  o 일자리센터 임대료 및 공과금</t>
    <phoneticPr fontId="3" type="noConversion"/>
  </si>
  <si>
    <t xml:space="preserve">  o 창업상권활성화센터 임대료 및 공과금</t>
    <phoneticPr fontId="3" type="noConversion"/>
  </si>
  <si>
    <t xml:space="preserve">  o 제로웨이스트샵 임대료 및 공과금</t>
    <phoneticPr fontId="3" type="noConversion"/>
  </si>
  <si>
    <t xml:space="preserve">  o 민주평화통일자문회의 임대료 및 공과금</t>
    <phoneticPr fontId="3" type="noConversion"/>
  </si>
  <si>
    <t xml:space="preserve">  o 지하2층 식당 임대료 및 공과금</t>
    <phoneticPr fontId="3" type="noConversion"/>
  </si>
  <si>
    <t xml:space="preserve">  o 지하2층 날정비실 임대료 및 공과금</t>
    <phoneticPr fontId="3" type="noConversion"/>
  </si>
  <si>
    <t xml:space="preserve">  o 지하2층 빙상용품점 임대료 및 공과금</t>
    <phoneticPr fontId="3" type="noConversion"/>
  </si>
  <si>
    <t xml:space="preserve">  o 자판기사업 임대료 및 공과금</t>
    <phoneticPr fontId="3" type="noConversion"/>
  </si>
  <si>
    <t xml:space="preserve">  o 지상3층 카페 임대료 및 공과금</t>
    <phoneticPr fontId="3" type="noConversion"/>
  </si>
  <si>
    <t>212</t>
    <phoneticPr fontId="2" type="noConversion"/>
  </si>
  <si>
    <t>사용료수입</t>
    <phoneticPr fontId="2" type="noConversion"/>
  </si>
  <si>
    <t>212-8</t>
    <phoneticPr fontId="2" type="noConversion"/>
  </si>
  <si>
    <t>○ 부설주차장 수입</t>
    <phoneticPr fontId="3" type="noConversion"/>
  </si>
  <si>
    <t xml:space="preserve">  o 시민회관 부설주차장 사용료</t>
    <phoneticPr fontId="3" type="noConversion"/>
  </si>
  <si>
    <t xml:space="preserve">  o 시청 부설주차장 사용료</t>
    <phoneticPr fontId="3" type="noConversion"/>
  </si>
  <si>
    <t>1,300,000원 ×12월 =</t>
    <phoneticPr fontId="3" type="noConversion"/>
  </si>
  <si>
    <t>213</t>
    <phoneticPr fontId="2" type="noConversion"/>
  </si>
  <si>
    <t>수수료수입</t>
    <phoneticPr fontId="2" type="noConversion"/>
  </si>
  <si>
    <t>○ 쓰레기처리봉투판매수입</t>
    <phoneticPr fontId="3" type="noConversion"/>
  </si>
  <si>
    <t>○ 대형폐기물처리스티커 판매수입</t>
    <phoneticPr fontId="3" type="noConversion"/>
  </si>
  <si>
    <t>기타사용료</t>
    <phoneticPr fontId="2" type="noConversion"/>
  </si>
  <si>
    <t xml:space="preserve">  o 일일입장</t>
    <phoneticPr fontId="3" type="noConversion"/>
  </si>
  <si>
    <t xml:space="preserve">ㆍ성인 </t>
    <phoneticPr fontId="2" type="noConversion"/>
  </si>
  <si>
    <t>ㆍ청소년</t>
    <phoneticPr fontId="2" type="noConversion"/>
  </si>
  <si>
    <t>ㆍ어린이</t>
    <phoneticPr fontId="2" type="noConversion"/>
  </si>
  <si>
    <t>ㆍ성인(여성10%할인)</t>
    <phoneticPr fontId="2" type="noConversion"/>
  </si>
  <si>
    <t>ㆍ청소년(여성10%할인)</t>
    <phoneticPr fontId="2" type="noConversion"/>
  </si>
  <si>
    <t>ㆍ어린이(여성10%할인)</t>
    <phoneticPr fontId="2" type="noConversion"/>
  </si>
  <si>
    <t xml:space="preserve">  o 월 회원강습</t>
    <phoneticPr fontId="3" type="noConversion"/>
  </si>
  <si>
    <t xml:space="preserve">         - 주5회(월~금)</t>
    <phoneticPr fontId="2" type="noConversion"/>
  </si>
  <si>
    <t>60,000원 × 250명 × 12월 =</t>
    <phoneticPr fontId="3" type="noConversion"/>
  </si>
  <si>
    <t>60,000원 × 300명 × 12월 × 90% =</t>
    <phoneticPr fontId="3" type="noConversion"/>
  </si>
  <si>
    <t>55,000원 × 25명 × 12월 =</t>
    <phoneticPr fontId="3" type="noConversion"/>
  </si>
  <si>
    <t>55,000원 × 35명 × 12월 × 90% =</t>
    <phoneticPr fontId="3" type="noConversion"/>
  </si>
  <si>
    <t>22,000원 × 10명 × 12월 × 90% =</t>
    <phoneticPr fontId="3" type="noConversion"/>
  </si>
  <si>
    <t>60,000원 × 60명 × 12월 =</t>
    <phoneticPr fontId="3" type="noConversion"/>
  </si>
  <si>
    <t>60,000원 × 250명 × 12월 × 90% =</t>
    <phoneticPr fontId="3" type="noConversion"/>
  </si>
  <si>
    <t>31,000원 × 60명 × 12월 × 90% =</t>
    <phoneticPr fontId="3" type="noConversion"/>
  </si>
  <si>
    <t>30,000원 × 2명 × 12월 × 90% =</t>
    <phoneticPr fontId="3" type="noConversion"/>
  </si>
  <si>
    <t>22,000원 × 50명 × 12월 =</t>
    <phoneticPr fontId="3" type="noConversion"/>
  </si>
  <si>
    <t>17,000원 × 40명 × 12월 =</t>
    <phoneticPr fontId="3" type="noConversion"/>
  </si>
  <si>
    <t>17,000원 × 5명 × 12월 × 90% =</t>
    <phoneticPr fontId="3" type="noConversion"/>
  </si>
  <si>
    <t>ㆍ단체반</t>
    <phoneticPr fontId="2" type="noConversion"/>
  </si>
  <si>
    <t>2,700원 × 20명 × 12회 × 12월 =</t>
    <phoneticPr fontId="3" type="noConversion"/>
  </si>
  <si>
    <t>2,700원 × 20명 × 8회 × 12월 =</t>
    <phoneticPr fontId="3" type="noConversion"/>
  </si>
  <si>
    <t>2,700원 × 20명 × 4회 × 12월 =</t>
    <phoneticPr fontId="3" type="noConversion"/>
  </si>
  <si>
    <t>41,000원 × 17조 × 12월 × 90% =</t>
    <phoneticPr fontId="3" type="noConversion"/>
  </si>
  <si>
    <t>52,500원 × 10명 × 1개반 × 12월 =</t>
    <phoneticPr fontId="3" type="noConversion"/>
  </si>
  <si>
    <t>5,000원 × 10명 × 52주 =</t>
    <phoneticPr fontId="3" type="noConversion"/>
  </si>
  <si>
    <t>3,500원 × 8명 × 52주 =</t>
    <phoneticPr fontId="3" type="noConversion"/>
  </si>
  <si>
    <t>ㆍ다섯살 AQUAGYM 주2회(월,목)(화,금)</t>
    <phoneticPr fontId="2" type="noConversion"/>
  </si>
  <si>
    <t>41,000원 × 7명 × 2개반 × 12월 =</t>
    <phoneticPr fontId="3" type="noConversion"/>
  </si>
  <si>
    <t>23,200원 × 10조 × 1월 × 90% =</t>
    <phoneticPr fontId="3" type="noConversion"/>
  </si>
  <si>
    <t>29,000원 × 10조 × 1월 × 90% =</t>
    <phoneticPr fontId="3" type="noConversion"/>
  </si>
  <si>
    <t>44,000원 × 4조 × 1월 =</t>
    <phoneticPr fontId="3" type="noConversion"/>
  </si>
  <si>
    <t>ㆍ방학특강(여름, 겨울)</t>
    <phoneticPr fontId="2" type="noConversion"/>
  </si>
  <si>
    <t>41,000원 × 14명 × 4개반 × 2월 =</t>
    <phoneticPr fontId="3" type="noConversion"/>
  </si>
  <si>
    <t>47,500원 × 8명 × 1개반 × 2월 =</t>
    <phoneticPr fontId="3" type="noConversion"/>
  </si>
  <si>
    <t xml:space="preserve">  o 수영장 대관</t>
    <phoneticPr fontId="3" type="noConversion"/>
  </si>
  <si>
    <t>33,000원 × 3레인 × 12월 =</t>
    <phoneticPr fontId="3" type="noConversion"/>
  </si>
  <si>
    <t xml:space="preserve">  o 관문체육공원 어린이 철인반 프로그램</t>
    <phoneticPr fontId="3" type="noConversion"/>
  </si>
  <si>
    <t>66,550원 × 18명 × 12월 × 25% =</t>
    <phoneticPr fontId="3" type="noConversion"/>
  </si>
  <si>
    <t xml:space="preserve">  o 수영강사 배분제 사업</t>
    <phoneticPr fontId="3" type="noConversion"/>
  </si>
  <si>
    <t>200,000원 × 8명 × 12월 =</t>
    <phoneticPr fontId="3" type="noConversion"/>
  </si>
  <si>
    <t xml:space="preserve">  o 수상안전요원 배출 사업</t>
    <phoneticPr fontId="3" type="noConversion"/>
  </si>
  <si>
    <t>250,000원 × 15명 × 4회 =</t>
    <phoneticPr fontId="3" type="noConversion"/>
  </si>
  <si>
    <t>○ 시민회관 유료사물함 운영</t>
    <phoneticPr fontId="3" type="noConversion"/>
  </si>
  <si>
    <t xml:space="preserve">  o 골프연습장</t>
    <phoneticPr fontId="3" type="noConversion"/>
  </si>
  <si>
    <t>10,000원 × 80실 × 12월 =</t>
    <phoneticPr fontId="3" type="noConversion"/>
  </si>
  <si>
    <t xml:space="preserve">  o 유료사물함(대)</t>
    <phoneticPr fontId="3" type="noConversion"/>
  </si>
  <si>
    <t>11,000원 × 8실 × 12월 =</t>
    <phoneticPr fontId="3" type="noConversion"/>
  </si>
  <si>
    <t xml:space="preserve">  o 유료사물함(중)</t>
    <phoneticPr fontId="3" type="noConversion"/>
  </si>
  <si>
    <t>7,500원 × 630실 × 12월 =</t>
    <phoneticPr fontId="3" type="noConversion"/>
  </si>
  <si>
    <t xml:space="preserve">  o 유료사물함(소)</t>
    <phoneticPr fontId="3" type="noConversion"/>
  </si>
  <si>
    <t xml:space="preserve">  o 동전사물함 A</t>
    <phoneticPr fontId="3" type="noConversion"/>
  </si>
  <si>
    <t>500원 × 4회 × 106실 × 12월 =</t>
    <phoneticPr fontId="3" type="noConversion"/>
  </si>
  <si>
    <t xml:space="preserve">  o 동전사물함 B</t>
    <phoneticPr fontId="3" type="noConversion"/>
  </si>
  <si>
    <t>300원 × 2회 × 120실 × 12월 =</t>
    <phoneticPr fontId="3" type="noConversion"/>
  </si>
  <si>
    <t xml:space="preserve">  o 볼링장 사물함(싱글)</t>
    <phoneticPr fontId="3" type="noConversion"/>
  </si>
  <si>
    <t>3,000원 × 100실 × 12월 =</t>
    <phoneticPr fontId="3" type="noConversion"/>
  </si>
  <si>
    <t xml:space="preserve">  o 볼링장 사물함(더블)</t>
    <phoneticPr fontId="3" type="noConversion"/>
  </si>
  <si>
    <t>5,000원 × 100실 × 12월 =</t>
    <phoneticPr fontId="3" type="noConversion"/>
  </si>
  <si>
    <t xml:space="preserve">  o 볼링장 사물함(트리플)</t>
    <phoneticPr fontId="3" type="noConversion"/>
  </si>
  <si>
    <t>6,000원 × 20실 × 12월 =</t>
    <phoneticPr fontId="3" type="noConversion"/>
  </si>
  <si>
    <t>○ 볼링장</t>
    <phoneticPr fontId="3" type="noConversion"/>
  </si>
  <si>
    <t xml:space="preserve">  o 쿠폰</t>
    <phoneticPr fontId="3" type="noConversion"/>
  </si>
  <si>
    <t>350원 × 3.5게임 × 1,664원 × 12월 =</t>
    <phoneticPr fontId="3" type="noConversion"/>
  </si>
  <si>
    <t>320명 × 3.5게임 × 2,222원 × 12월 =</t>
    <phoneticPr fontId="3" type="noConversion"/>
  </si>
  <si>
    <t>300명 × 3.5게임 × 2,222원 × 12월 =</t>
    <phoneticPr fontId="3" type="noConversion"/>
  </si>
  <si>
    <t xml:space="preserve">  o 대화료</t>
    <phoneticPr fontId="3" type="noConversion"/>
  </si>
  <si>
    <t>2,700족 × 1,000원 × 12월 =</t>
    <phoneticPr fontId="3" type="noConversion"/>
  </si>
  <si>
    <t xml:space="preserve">  o 회원강습</t>
    <phoneticPr fontId="3" type="noConversion"/>
  </si>
  <si>
    <t>ㆍ방학특강</t>
    <phoneticPr fontId="2" type="noConversion"/>
  </si>
  <si>
    <t>((37,500원 × 12명)+(41,250원 × 12명)) × 2회</t>
    <phoneticPr fontId="3" type="noConversion"/>
  </si>
  <si>
    <t xml:space="preserve">  o 볼링용품점</t>
    <phoneticPr fontId="3" type="noConversion"/>
  </si>
  <si>
    <t xml:space="preserve">  o 종일반</t>
    <phoneticPr fontId="3" type="noConversion"/>
  </si>
  <si>
    <t>○ 골프연습장</t>
    <phoneticPr fontId="3" type="noConversion"/>
  </si>
  <si>
    <t xml:space="preserve">  o 주간반</t>
    <phoneticPr fontId="3" type="noConversion"/>
  </si>
  <si>
    <t xml:space="preserve">  o 골프 시간강사 배분제 사업</t>
    <phoneticPr fontId="3" type="noConversion"/>
  </si>
  <si>
    <t>140,000원 × 3명 × 12월 =</t>
    <phoneticPr fontId="3" type="noConversion"/>
  </si>
  <si>
    <t>○ 여가체육</t>
    <phoneticPr fontId="3" type="noConversion"/>
  </si>
  <si>
    <t xml:space="preserve">  o 태권도</t>
    <phoneticPr fontId="3" type="noConversion"/>
  </si>
  <si>
    <t>ㆍ주간반</t>
    <phoneticPr fontId="2" type="noConversion"/>
  </si>
  <si>
    <t xml:space="preserve">  o 헬스</t>
    <phoneticPr fontId="3" type="noConversion"/>
  </si>
  <si>
    <t>ㆍ종일반</t>
    <phoneticPr fontId="2" type="noConversion"/>
  </si>
  <si>
    <t>ㆍ퍼스널트레이닝(8회)</t>
    <phoneticPr fontId="2" type="noConversion"/>
  </si>
  <si>
    <t>304,000원 × 20명 × 12월 =</t>
    <phoneticPr fontId="3" type="noConversion"/>
  </si>
  <si>
    <t>ㆍ퍼스널트레이닝(10회)</t>
    <phoneticPr fontId="2" type="noConversion"/>
  </si>
  <si>
    <t>380,000원 × 3명 × 12월 =</t>
    <phoneticPr fontId="3" type="noConversion"/>
  </si>
  <si>
    <t>ㆍ퍼스널트레이닝(12회)</t>
    <phoneticPr fontId="2" type="noConversion"/>
  </si>
  <si>
    <t>456,000원 × 3명 × 12월 =</t>
    <phoneticPr fontId="3" type="noConversion"/>
  </si>
  <si>
    <t>ㆍ1:2퍼스널트레이닝</t>
    <phoneticPr fontId="2" type="noConversion"/>
  </si>
  <si>
    <t>250,000원 × 5명 × 12월 =</t>
    <phoneticPr fontId="3" type="noConversion"/>
  </si>
  <si>
    <t>ㆍ폭풍다이어트(순환운동)</t>
    <phoneticPr fontId="2" type="noConversion"/>
  </si>
  <si>
    <t>104,000원 × 5명 × 12월 =</t>
    <phoneticPr fontId="3" type="noConversion"/>
  </si>
  <si>
    <t>ㆍ일일입장</t>
    <phoneticPr fontId="2" type="noConversion"/>
  </si>
  <si>
    <t>ㆍ월 정기권 5회</t>
    <phoneticPr fontId="2" type="noConversion"/>
  </si>
  <si>
    <t>22,500원 × 50명 × 12월 =</t>
    <phoneticPr fontId="3" type="noConversion"/>
  </si>
  <si>
    <t>ㆍ월 정기권 8회</t>
    <phoneticPr fontId="2" type="noConversion"/>
  </si>
  <si>
    <t>36,000원 × 15명 × 12월 =</t>
    <phoneticPr fontId="3" type="noConversion"/>
  </si>
  <si>
    <t xml:space="preserve">  o 발레</t>
    <phoneticPr fontId="3" type="noConversion"/>
  </si>
  <si>
    <t>ㆍ성인(화,목)</t>
    <phoneticPr fontId="2" type="noConversion"/>
  </si>
  <si>
    <t>ㆍ성인(토)</t>
    <phoneticPr fontId="2" type="noConversion"/>
  </si>
  <si>
    <t xml:space="preserve">  o 직장인 요가</t>
    <phoneticPr fontId="3" type="noConversion"/>
  </si>
  <si>
    <t>ㆍ청소년, 성인(월,수,금)</t>
    <phoneticPr fontId="2" type="noConversion"/>
  </si>
  <si>
    <t xml:space="preserve">  o 파워요가</t>
    <phoneticPr fontId="3" type="noConversion"/>
  </si>
  <si>
    <t xml:space="preserve">  o 다이어트요가</t>
    <phoneticPr fontId="3" type="noConversion"/>
  </si>
  <si>
    <t xml:space="preserve">  o 주말요가</t>
    <phoneticPr fontId="3" type="noConversion"/>
  </si>
  <si>
    <t xml:space="preserve">  o 척추바른스트레칭</t>
    <phoneticPr fontId="3" type="noConversion"/>
  </si>
  <si>
    <t xml:space="preserve">  o 바른체형요가</t>
    <phoneticPr fontId="3" type="noConversion"/>
  </si>
  <si>
    <t xml:space="preserve">  o 필라테스</t>
    <phoneticPr fontId="3" type="noConversion"/>
  </si>
  <si>
    <t>ㆍ월,수,금</t>
    <phoneticPr fontId="2" type="noConversion"/>
  </si>
  <si>
    <t>ㆍ화,목</t>
    <phoneticPr fontId="2" type="noConversion"/>
  </si>
  <si>
    <t>53,000원 × 15명 × 12월 =</t>
    <phoneticPr fontId="3" type="noConversion"/>
  </si>
  <si>
    <t xml:space="preserve">  o 방송댄스</t>
    <phoneticPr fontId="3" type="noConversion"/>
  </si>
  <si>
    <t xml:space="preserve">  o 주말 방송댄스</t>
    <phoneticPr fontId="3" type="noConversion"/>
  </si>
  <si>
    <t xml:space="preserve">  o 힙합댄스</t>
    <phoneticPr fontId="3" type="noConversion"/>
  </si>
  <si>
    <t xml:space="preserve">  o S라인 벨리댄스</t>
    <phoneticPr fontId="3" type="noConversion"/>
  </si>
  <si>
    <t>ㆍ월</t>
    <phoneticPr fontId="2" type="noConversion"/>
  </si>
  <si>
    <t>ㆍ수,금</t>
    <phoneticPr fontId="2" type="noConversion"/>
  </si>
  <si>
    <t>((42,000원 × 10명) + (39,000원 × 5명)) × 12월 =</t>
    <phoneticPr fontId="3" type="noConversion"/>
  </si>
  <si>
    <t xml:space="preserve">  o 줄넘기&amp;학교체육</t>
    <phoneticPr fontId="3" type="noConversion"/>
  </si>
  <si>
    <t xml:space="preserve">  o 싱싱줄넘기</t>
    <phoneticPr fontId="3" type="noConversion"/>
  </si>
  <si>
    <t xml:space="preserve">  o SNPE 바른자세운동</t>
    <phoneticPr fontId="3" type="noConversion"/>
  </si>
  <si>
    <t xml:space="preserve">  o 라인댄스</t>
    <phoneticPr fontId="3" type="noConversion"/>
  </si>
  <si>
    <t xml:space="preserve">  o K-POP&amp;클럽댄스</t>
    <phoneticPr fontId="3" type="noConversion"/>
  </si>
  <si>
    <t>((39,000원 × 10명) + (42,000원 × 5명)) × 12월 =</t>
    <phoneticPr fontId="3" type="noConversion"/>
  </si>
  <si>
    <t xml:space="preserve">  o 줌바휘트니스</t>
    <phoneticPr fontId="3" type="noConversion"/>
  </si>
  <si>
    <t xml:space="preserve">  o 힐링요가</t>
    <phoneticPr fontId="3" type="noConversion"/>
  </si>
  <si>
    <t xml:space="preserve">  o 웰빙태극권</t>
    <phoneticPr fontId="3" type="noConversion"/>
  </si>
  <si>
    <t xml:space="preserve">  o 토탈댄스</t>
    <phoneticPr fontId="3" type="noConversion"/>
  </si>
  <si>
    <t xml:space="preserve">  o 무도 프로그램 심사비</t>
    <phoneticPr fontId="3" type="noConversion"/>
  </si>
  <si>
    <t>ㆍ태권도</t>
    <phoneticPr fontId="2" type="noConversion"/>
  </si>
  <si>
    <t>120,000원 × 3명 × 2회 =</t>
    <phoneticPr fontId="3" type="noConversion"/>
  </si>
  <si>
    <t>118,000원 × 10명 × 6회 =</t>
    <phoneticPr fontId="3" type="noConversion"/>
  </si>
  <si>
    <t>ㆍ검도(승급)</t>
    <phoneticPr fontId="2" type="noConversion"/>
  </si>
  <si>
    <t>ㆍ검도(승단)</t>
    <phoneticPr fontId="2" type="noConversion"/>
  </si>
  <si>
    <t>33,000원 × 15명 × 6회 =</t>
    <phoneticPr fontId="3" type="noConversion"/>
  </si>
  <si>
    <t xml:space="preserve">  o 대여료 수입</t>
    <phoneticPr fontId="3" type="noConversion"/>
  </si>
  <si>
    <t>ㆍ수건 이용료</t>
    <phoneticPr fontId="2" type="noConversion"/>
  </si>
  <si>
    <t>5,500원 × 200명 × 12월 =</t>
    <phoneticPr fontId="3" type="noConversion"/>
  </si>
  <si>
    <t>ㆍ운동복 이용료</t>
    <phoneticPr fontId="2" type="noConversion"/>
  </si>
  <si>
    <t>7,500원 × 200명 × 12월 =</t>
    <phoneticPr fontId="3" type="noConversion"/>
  </si>
  <si>
    <t xml:space="preserve">  o 플라잉요가</t>
    <phoneticPr fontId="3" type="noConversion"/>
  </si>
  <si>
    <t xml:space="preserve">  o 주말 플라잉 요가</t>
    <phoneticPr fontId="3" type="noConversion"/>
  </si>
  <si>
    <t xml:space="preserve">  o 산전요가</t>
    <phoneticPr fontId="3" type="noConversion"/>
  </si>
  <si>
    <t>○ 대체육관</t>
    <phoneticPr fontId="3" type="noConversion"/>
  </si>
  <si>
    <t xml:space="preserve">  o 검도</t>
    <phoneticPr fontId="3" type="noConversion"/>
  </si>
  <si>
    <t>ㆍ청소년, 성인</t>
    <phoneticPr fontId="2" type="noConversion"/>
  </si>
  <si>
    <t xml:space="preserve">  o 배드민턴</t>
    <phoneticPr fontId="3" type="noConversion"/>
  </si>
  <si>
    <t xml:space="preserve">  o 꿈나무 배드민턴</t>
    <phoneticPr fontId="3" type="noConversion"/>
  </si>
  <si>
    <t xml:space="preserve">  o 주말 배드민턴</t>
    <phoneticPr fontId="3" type="noConversion"/>
  </si>
  <si>
    <t>ㆍ1.5T</t>
    <phoneticPr fontId="2" type="noConversion"/>
  </si>
  <si>
    <t>ㆍ2T</t>
    <phoneticPr fontId="2" type="noConversion"/>
  </si>
  <si>
    <t xml:space="preserve">  o 농구</t>
    <phoneticPr fontId="3" type="noConversion"/>
  </si>
  <si>
    <t>ㆍ방학특강(청소년)</t>
    <phoneticPr fontId="2" type="noConversion"/>
  </si>
  <si>
    <t>24,000원 × 15명 × 2개반 =</t>
    <phoneticPr fontId="3" type="noConversion"/>
  </si>
  <si>
    <t>ㆍ방학특강(어린이)</t>
    <phoneticPr fontId="2" type="noConversion"/>
  </si>
  <si>
    <t>20,000원 × 15명 × 2개반 =</t>
    <phoneticPr fontId="3" type="noConversion"/>
  </si>
  <si>
    <t xml:space="preserve">  o 주말체력</t>
    <phoneticPr fontId="3" type="noConversion"/>
  </si>
  <si>
    <t xml:space="preserve">  o 실내야구(티볼)</t>
    <phoneticPr fontId="3" type="noConversion"/>
  </si>
  <si>
    <t xml:space="preserve">  o 대관료 및 유료자유이용</t>
    <phoneticPr fontId="3" type="noConversion"/>
  </si>
  <si>
    <t>ㆍ대관료</t>
    <phoneticPr fontId="2" type="noConversion"/>
  </si>
  <si>
    <t>3,600,000원 × 12월 =</t>
    <phoneticPr fontId="3" type="noConversion"/>
  </si>
  <si>
    <t>ㆍ유료자유이용</t>
    <phoneticPr fontId="2" type="noConversion"/>
  </si>
  <si>
    <t xml:space="preserve">  o 배드민턴 배분제 사업</t>
    <phoneticPr fontId="3" type="noConversion"/>
  </si>
  <si>
    <t>570,000원 × 12월 =</t>
    <phoneticPr fontId="3" type="noConversion"/>
  </si>
  <si>
    <t xml:space="preserve">  o 배드민턴 소그룹 레슨</t>
    <phoneticPr fontId="3" type="noConversion"/>
  </si>
  <si>
    <t xml:space="preserve">  o 점프윙스</t>
    <phoneticPr fontId="3" type="noConversion"/>
  </si>
  <si>
    <t>3,000원 × 400명 × 12월 =</t>
    <phoneticPr fontId="3" type="noConversion"/>
  </si>
  <si>
    <t>3,400원 × 60명 × 12월 =</t>
    <phoneticPr fontId="3" type="noConversion"/>
  </si>
  <si>
    <t>3,700원 × 80명 × 12월 =</t>
    <phoneticPr fontId="3" type="noConversion"/>
  </si>
  <si>
    <t>2,800원 × 400명 × 12월 =</t>
    <phoneticPr fontId="3" type="noConversion"/>
  </si>
  <si>
    <t>2,300원 × 800명 × 12월 =</t>
    <phoneticPr fontId="3" type="noConversion"/>
  </si>
  <si>
    <t>2,500원 × 400명 × 12월 =</t>
    <phoneticPr fontId="3" type="noConversion"/>
  </si>
  <si>
    <t>ㆍ주2회 어린이반</t>
    <phoneticPr fontId="2" type="noConversion"/>
  </si>
  <si>
    <t>ㆍ주2회 성인반</t>
    <phoneticPr fontId="2" type="noConversion"/>
  </si>
  <si>
    <t>ㆍ주2회 주말 어린이반</t>
    <phoneticPr fontId="2" type="noConversion"/>
  </si>
  <si>
    <t>ㆍ주2회 주말 성인반</t>
    <phoneticPr fontId="2" type="noConversion"/>
  </si>
  <si>
    <t>ㆍ위탁 어린이반</t>
    <phoneticPr fontId="2" type="noConversion"/>
  </si>
  <si>
    <t>49,000원 × 10명 × 8개반 × 2회 =</t>
    <phoneticPr fontId="3" type="noConversion"/>
  </si>
  <si>
    <t>ㆍ엘리트 브릿지(평일)</t>
    <phoneticPr fontId="2" type="noConversion"/>
  </si>
  <si>
    <t>58,800원 × 10명 × 1개반 × 12월 =</t>
    <phoneticPr fontId="3" type="noConversion"/>
  </si>
  <si>
    <t>ㆍ엘리트 브릿지(주말)</t>
    <phoneticPr fontId="2" type="noConversion"/>
  </si>
  <si>
    <t>64,800원 × 10명 × 2개반 × 12월 =</t>
    <phoneticPr fontId="3" type="noConversion"/>
  </si>
  <si>
    <t>49,000원 × 10명 × 10개반 × 2회 =</t>
    <phoneticPr fontId="3" type="noConversion"/>
  </si>
  <si>
    <t>49,000원 × 10명 × 15개반 × 2회 =</t>
    <phoneticPr fontId="3" type="noConversion"/>
  </si>
  <si>
    <t xml:space="preserve">  o 월 정기 이용권</t>
    <phoneticPr fontId="3" type="noConversion"/>
  </si>
  <si>
    <t>ㆍ성인</t>
    <phoneticPr fontId="2" type="noConversion"/>
  </si>
  <si>
    <t>66,000원 × 5명 × 12월 =</t>
    <phoneticPr fontId="3" type="noConversion"/>
  </si>
  <si>
    <t xml:space="preserve">  o 12회 이용권</t>
    <phoneticPr fontId="3" type="noConversion"/>
  </si>
  <si>
    <t>43,000원 × 5명 × 12월 =</t>
    <phoneticPr fontId="3" type="noConversion"/>
  </si>
  <si>
    <t xml:space="preserve">  o 8회 이용권</t>
    <phoneticPr fontId="3" type="noConversion"/>
  </si>
  <si>
    <t>29,000원 × 3명 × 12월 =</t>
    <phoneticPr fontId="3" type="noConversion"/>
  </si>
  <si>
    <t xml:space="preserve">  o 4회 이용권</t>
    <phoneticPr fontId="3" type="noConversion"/>
  </si>
  <si>
    <t>14,800원 × 8명 × 12월 =</t>
    <phoneticPr fontId="3" type="noConversion"/>
  </si>
  <si>
    <t xml:space="preserve">  o 스케이트 대화료</t>
    <phoneticPr fontId="3" type="noConversion"/>
  </si>
  <si>
    <t>ㆍ개인</t>
    <phoneticPr fontId="2" type="noConversion"/>
  </si>
  <si>
    <t>3,000원 × 2,800명 × 12월 =</t>
    <phoneticPr fontId="3" type="noConversion"/>
  </si>
  <si>
    <t>2,500원 × 2,700명 × 12월 =</t>
    <phoneticPr fontId="3" type="noConversion"/>
  </si>
  <si>
    <t xml:space="preserve">  o 대관</t>
    <phoneticPr fontId="3" type="noConversion"/>
  </si>
  <si>
    <t>24,000,000원 × 12월 =</t>
    <phoneticPr fontId="3" type="noConversion"/>
  </si>
  <si>
    <t xml:space="preserve">  o 개인강습 사용료</t>
    <phoneticPr fontId="3" type="noConversion"/>
  </si>
  <si>
    <t>125,000원 × 15명 × 12월 =</t>
    <phoneticPr fontId="3" type="noConversion"/>
  </si>
  <si>
    <t>공유재산임대료</t>
    <phoneticPr fontId="2" type="noConversion"/>
  </si>
  <si>
    <t>주차요금수입</t>
    <phoneticPr fontId="2" type="noConversion"/>
  </si>
  <si>
    <t>○ 주차요금 수입</t>
    <phoneticPr fontId="3" type="noConversion"/>
  </si>
  <si>
    <t>15,300,000원 × 12월 =</t>
    <phoneticPr fontId="3" type="noConversion"/>
  </si>
  <si>
    <t>8,700,000원 × 12월 =</t>
    <phoneticPr fontId="3" type="noConversion"/>
  </si>
  <si>
    <t>2,040,000원 × 12월 =</t>
    <phoneticPr fontId="3" type="noConversion"/>
  </si>
  <si>
    <t xml:space="preserve">         - 북문노외</t>
    <phoneticPr fontId="2" type="noConversion"/>
  </si>
  <si>
    <t>38,750,000원 × 12월 =</t>
    <phoneticPr fontId="3" type="noConversion"/>
  </si>
  <si>
    <t>8,100,000원 × 12월 =</t>
    <phoneticPr fontId="3" type="noConversion"/>
  </si>
  <si>
    <t>1,020,000원 × 12월 =</t>
    <phoneticPr fontId="3" type="noConversion"/>
  </si>
  <si>
    <t>○ 위탁수수료</t>
    <phoneticPr fontId="3" type="noConversion"/>
  </si>
  <si>
    <t xml:space="preserve">  o 상이군경위탁수수료</t>
    <phoneticPr fontId="3" type="noConversion"/>
  </si>
  <si>
    <t>○ 잡수입</t>
    <phoneticPr fontId="3" type="noConversion"/>
  </si>
  <si>
    <t xml:space="preserve">  o 주차빌딩 과금형 전기차 충전소 사용료</t>
    <phoneticPr fontId="3" type="noConversion"/>
  </si>
  <si>
    <t>212</t>
    <phoneticPr fontId="2" type="noConversion"/>
  </si>
  <si>
    <t>사용료수입</t>
    <phoneticPr fontId="2" type="noConversion"/>
  </si>
  <si>
    <t>○ 교통약자 차량 이용요금 수입</t>
    <phoneticPr fontId="2" type="noConversion"/>
  </si>
  <si>
    <t>○ 수련관시설 위탁시설 임대료</t>
    <phoneticPr fontId="3" type="noConversion"/>
  </si>
  <si>
    <t xml:space="preserve">  o 카페 및 매점 임대료</t>
    <phoneticPr fontId="3" type="noConversion"/>
  </si>
  <si>
    <t>○ 수영장 수입</t>
    <phoneticPr fontId="3" type="noConversion"/>
  </si>
  <si>
    <t>ㆍ성인평일</t>
    <phoneticPr fontId="2" type="noConversion"/>
  </si>
  <si>
    <t>ㆍ성인주말</t>
    <phoneticPr fontId="2" type="noConversion"/>
  </si>
  <si>
    <t>ㆍ노인, 어린이, 청소년 평일</t>
    <phoneticPr fontId="2" type="noConversion"/>
  </si>
  <si>
    <t>ㆍ유아</t>
    <phoneticPr fontId="2" type="noConversion"/>
  </si>
  <si>
    <t xml:space="preserve">  o 월 정기권</t>
    <phoneticPr fontId="3" type="noConversion"/>
  </si>
  <si>
    <t>40,000원 × 20명 × 12월 =</t>
    <phoneticPr fontId="3" type="noConversion"/>
  </si>
  <si>
    <t>ㆍ노인</t>
    <phoneticPr fontId="2" type="noConversion"/>
  </si>
  <si>
    <t>48,000원 × 1명 × 8개반 × 12월 =</t>
    <phoneticPr fontId="3" type="noConversion"/>
  </si>
  <si>
    <t>48,000원 × 1명 × 8개반 × 12월 × 90% =</t>
    <phoneticPr fontId="3" type="noConversion"/>
  </si>
  <si>
    <t>ㆍ주3회(월,수,금)</t>
    <phoneticPr fontId="2" type="noConversion"/>
  </si>
  <si>
    <t>ㆍ주2회(화,목)</t>
    <phoneticPr fontId="2" type="noConversion"/>
  </si>
  <si>
    <t>70,000원 × 2명 × 5개반 × 4월 =</t>
    <phoneticPr fontId="3" type="noConversion"/>
  </si>
  <si>
    <t>55,000원 × 1명 × 5개반 × 4월 =</t>
    <phoneticPr fontId="3" type="noConversion"/>
  </si>
  <si>
    <t>55,000원 × 1명 × 5개반 × 4월 × 90% =</t>
    <phoneticPr fontId="3" type="noConversion"/>
  </si>
  <si>
    <t xml:space="preserve">  o 실버수중체조교실(11시)</t>
    <phoneticPr fontId="3" type="noConversion"/>
  </si>
  <si>
    <t>39,000원 × 8명 × 12월 =</t>
    <phoneticPr fontId="3" type="noConversion"/>
  </si>
  <si>
    <t>ㆍ주5회(월~금)</t>
    <phoneticPr fontId="2" type="noConversion"/>
  </si>
  <si>
    <t xml:space="preserve">  o 주말 가족 수영교실(08시)</t>
    <phoneticPr fontId="3" type="noConversion"/>
  </si>
  <si>
    <t>31,200원 × 3조 × 12월 =</t>
    <phoneticPr fontId="3" type="noConversion"/>
  </si>
  <si>
    <t>48,000원 × 15명 × 12월 =</t>
    <phoneticPr fontId="3" type="noConversion"/>
  </si>
  <si>
    <t xml:space="preserve">  o 방학특강(주5회)</t>
    <phoneticPr fontId="3" type="noConversion"/>
  </si>
  <si>
    <t xml:space="preserve">  o 수영 배분제 사업</t>
    <phoneticPr fontId="3" type="noConversion"/>
  </si>
  <si>
    <t xml:space="preserve">  o 수상인명구조요원 특별강습</t>
    <phoneticPr fontId="3" type="noConversion"/>
  </si>
  <si>
    <t xml:space="preserve">  o 주말가족생존수영교실</t>
    <phoneticPr fontId="3" type="noConversion"/>
  </si>
  <si>
    <t xml:space="preserve">  o 주말마스터반</t>
    <phoneticPr fontId="3" type="noConversion"/>
  </si>
  <si>
    <t>○ 헬스장</t>
    <phoneticPr fontId="3" type="noConversion"/>
  </si>
  <si>
    <t>1,500원 × 20명 × 52주 =</t>
    <phoneticPr fontId="3" type="noConversion"/>
  </si>
  <si>
    <t>[ 경영기획처 ]</t>
    <phoneticPr fontId="2" type="noConversion"/>
  </si>
  <si>
    <t>장:(200)세외수입    관:(210)경상적세외수입    항:(211)재산임대수입</t>
    <phoneticPr fontId="2" type="noConversion"/>
  </si>
  <si>
    <t>[ 시설관리처 ]</t>
    <phoneticPr fontId="2" type="noConversion"/>
  </si>
  <si>
    <t>[ 시설관리처(교통복지) ]</t>
    <phoneticPr fontId="2" type="noConversion"/>
  </si>
  <si>
    <t>장:(200)세외수입    관:(210)경상적세외수입    항:(212)사용료수입</t>
    <phoneticPr fontId="2" type="noConversion"/>
  </si>
  <si>
    <t>[ 시설관리처(공영주차) ]</t>
    <phoneticPr fontId="2" type="noConversion"/>
  </si>
  <si>
    <t>[ 공원수련관관리처(수련관) ]</t>
    <phoneticPr fontId="3" type="noConversion"/>
  </si>
  <si>
    <t>[ 공원수련관관리처(공원) ]</t>
    <phoneticPr fontId="3" type="noConversion"/>
  </si>
  <si>
    <t>[ 시민회관체육운영처 ]</t>
    <phoneticPr fontId="2" type="noConversion"/>
  </si>
  <si>
    <t>39,000원 × 15명 × 3개반 × 12월 =</t>
    <phoneticPr fontId="3" type="noConversion"/>
  </si>
  <si>
    <t xml:space="preserve">  o 체형관리교실</t>
    <phoneticPr fontId="3" type="noConversion"/>
  </si>
  <si>
    <t>ㆍ여성 체형관리</t>
    <phoneticPr fontId="2" type="noConversion"/>
  </si>
  <si>
    <t>52,000원 × 8명 × 1개반 × 12월 =</t>
    <phoneticPr fontId="3" type="noConversion"/>
  </si>
  <si>
    <t>○ 체육관</t>
    <phoneticPr fontId="3" type="noConversion"/>
  </si>
  <si>
    <t>41,600원 × 1명 × 12월 =</t>
    <phoneticPr fontId="3" type="noConversion"/>
  </si>
  <si>
    <t>ㆍ주말 청소년 배드민턴</t>
    <phoneticPr fontId="2" type="noConversion"/>
  </si>
  <si>
    <t>20,000원 × 6명 × 12월 =</t>
    <phoneticPr fontId="3" type="noConversion"/>
  </si>
  <si>
    <t>ㆍ주말 가족 배드민턴(2인)</t>
    <phoneticPr fontId="2" type="noConversion"/>
  </si>
  <si>
    <t>42,000원 × 2조 × 12월 =</t>
    <phoneticPr fontId="3" type="noConversion"/>
  </si>
  <si>
    <t>ㆍ주말 가족 배드민턴(3인)</t>
    <phoneticPr fontId="2" type="noConversion"/>
  </si>
  <si>
    <t>ㆍ배드민턴 방학특강(주5회)</t>
    <phoneticPr fontId="2" type="noConversion"/>
  </si>
  <si>
    <t>ㆍ배드민턴 배분제 사업</t>
    <phoneticPr fontId="2" type="noConversion"/>
  </si>
  <si>
    <t>26,000원 × 10명 × 12월 =</t>
    <phoneticPr fontId="3" type="noConversion"/>
  </si>
  <si>
    <t>24,000원 × 10명 × 12월 =</t>
    <phoneticPr fontId="3" type="noConversion"/>
  </si>
  <si>
    <t>ㆍ농구 방학특강(주5회)</t>
    <phoneticPr fontId="2" type="noConversion"/>
  </si>
  <si>
    <t xml:space="preserve">  o 주말체능, 체력</t>
    <phoneticPr fontId="3" type="noConversion"/>
  </si>
  <si>
    <t>ㆍ주1회(토)</t>
    <phoneticPr fontId="2" type="noConversion"/>
  </si>
  <si>
    <t>○ 유료사물함 수입</t>
    <phoneticPr fontId="3" type="noConversion"/>
  </si>
  <si>
    <t xml:space="preserve">  o 사물함(대)</t>
    <phoneticPr fontId="3" type="noConversion"/>
  </si>
  <si>
    <t>7,500원 × 8명 × 12월 =</t>
    <phoneticPr fontId="3" type="noConversion"/>
  </si>
  <si>
    <t xml:space="preserve">  o 사물함(소)</t>
    <phoneticPr fontId="3" type="noConversion"/>
  </si>
  <si>
    <t>5,000원 × 100명 × 12월 =</t>
    <phoneticPr fontId="3" type="noConversion"/>
  </si>
  <si>
    <t>○ 카드회원증 재발급 수수료</t>
    <phoneticPr fontId="3" type="noConversion"/>
  </si>
  <si>
    <t>1,000원 × 3명 × 12월 =</t>
    <phoneticPr fontId="3" type="noConversion"/>
  </si>
  <si>
    <t>부서명</t>
    <phoneticPr fontId="2" type="noConversion"/>
  </si>
  <si>
    <t>경영기획처</t>
    <phoneticPr fontId="2" type="noConversion"/>
  </si>
  <si>
    <t>시설관리처</t>
    <phoneticPr fontId="2" type="noConversion"/>
  </si>
  <si>
    <t>공원수련관관리처(공원)</t>
    <phoneticPr fontId="2" type="noConversion"/>
  </si>
  <si>
    <t>공원수련관관리처(수련관)</t>
    <phoneticPr fontId="2" type="noConversion"/>
  </si>
  <si>
    <t>시설관리처(공영주차)</t>
    <phoneticPr fontId="2" type="noConversion"/>
  </si>
  <si>
    <t>시설관리처(교통복지)</t>
    <phoneticPr fontId="2" type="noConversion"/>
  </si>
  <si>
    <t>증감</t>
    <phoneticPr fontId="2" type="noConversion"/>
  </si>
  <si>
    <t>(단위: 천원)</t>
    <phoneticPr fontId="2" type="noConversion"/>
  </si>
  <si>
    <t>세외수입예산 집계표</t>
    <phoneticPr fontId="2" type="noConversion"/>
  </si>
  <si>
    <t>증감사유</t>
    <phoneticPr fontId="2" type="noConversion"/>
  </si>
  <si>
    <t>증감액</t>
    <phoneticPr fontId="2" type="noConversion"/>
  </si>
  <si>
    <t>증감</t>
    <phoneticPr fontId="3" type="noConversion"/>
  </si>
  <si>
    <t>증감사유</t>
    <phoneticPr fontId="3" type="noConversion"/>
  </si>
  <si>
    <t>증감사유</t>
    <phoneticPr fontId="2" type="noConversion"/>
  </si>
  <si>
    <t>장애인의무고용 실적미달로 인한 부담금 발생</t>
  </si>
  <si>
    <t>216</t>
    <phoneticPr fontId="2" type="noConversion"/>
  </si>
  <si>
    <t>이자수입</t>
    <phoneticPr fontId="2" type="noConversion"/>
  </si>
  <si>
    <t>기타이자수입</t>
    <phoneticPr fontId="2" type="noConversion"/>
  </si>
  <si>
    <t>221-4</t>
    <phoneticPr fontId="2" type="noConversion"/>
  </si>
  <si>
    <t>221</t>
    <phoneticPr fontId="2" type="noConversion"/>
  </si>
  <si>
    <t>재산매각수입</t>
    <phoneticPr fontId="2" type="noConversion"/>
  </si>
  <si>
    <t>불용품 매각대금</t>
    <phoneticPr fontId="2" type="noConversion"/>
  </si>
  <si>
    <t>224-7</t>
    <phoneticPr fontId="2" type="noConversion"/>
  </si>
  <si>
    <t>216-3</t>
    <phoneticPr fontId="2" type="noConversion"/>
  </si>
  <si>
    <t>214-5</t>
    <phoneticPr fontId="2" type="noConversion"/>
  </si>
  <si>
    <t>411,000,000원 ×1식 =</t>
    <phoneticPr fontId="3" type="noConversion"/>
  </si>
  <si>
    <t>문화동 리모델링에 따른 미사용으로 공과금 감소</t>
    <phoneticPr fontId="2" type="noConversion"/>
  </si>
  <si>
    <t>46,800,000원 ×1식 =</t>
    <phoneticPr fontId="3" type="noConversion"/>
  </si>
  <si>
    <t>2024년 수준(공과금 정산)</t>
    <phoneticPr fontId="2" type="noConversion"/>
  </si>
  <si>
    <t>17,000,000원 ×1식 =</t>
    <phoneticPr fontId="3" type="noConversion"/>
  </si>
  <si>
    <t>문화동 리모델링에 따른 임대공간 소멸(2층 동아리방)</t>
    <phoneticPr fontId="2" type="noConversion"/>
  </si>
  <si>
    <t>문화동 리모델링에 따른 임대공간 소멸</t>
    <phoneticPr fontId="2" type="noConversion"/>
  </si>
  <si>
    <t>19,600,000원 ×1식 =</t>
    <phoneticPr fontId="3" type="noConversion"/>
  </si>
  <si>
    <t>공사 사무실(고객센터)로 직접 사용</t>
    <phoneticPr fontId="2" type="noConversion"/>
  </si>
  <si>
    <t>33,000,000원 ×1식 =</t>
    <phoneticPr fontId="3" type="noConversion"/>
  </si>
  <si>
    <t>신규 임대업자 2년차 임대료 납부(4회중 3회 납부)</t>
    <phoneticPr fontId="2" type="noConversion"/>
  </si>
  <si>
    <t>300,000원 ×1식 =</t>
    <phoneticPr fontId="3" type="noConversion"/>
  </si>
  <si>
    <t>리모델링 및 수영장 천장 공사에 따른 미사용으로 납부시기 지연(25년 1월 납부)</t>
    <phoneticPr fontId="2" type="noConversion"/>
  </si>
  <si>
    <t>20,900,000원 ×1식 =</t>
    <phoneticPr fontId="3" type="noConversion"/>
  </si>
  <si>
    <t>2024년 수준</t>
    <phoneticPr fontId="2" type="noConversion"/>
  </si>
  <si>
    <t>11,040,000원 ×1식 =</t>
    <phoneticPr fontId="3" type="noConversion"/>
  </si>
  <si>
    <t>5,800,000원 ×1식 =</t>
    <phoneticPr fontId="3" type="noConversion"/>
  </si>
  <si>
    <t>문화동 리모델링에 따른 일부 미사용(1대)</t>
    <phoneticPr fontId="2" type="noConversion"/>
  </si>
  <si>
    <t>문화동 리모델링에 따른 미사용</t>
    <phoneticPr fontId="2" type="noConversion"/>
  </si>
  <si>
    <t xml:space="preserve">  o 지상1층 스포츠용품점 임대료 및 공과금</t>
    <phoneticPr fontId="3" type="noConversion"/>
  </si>
  <si>
    <t>7,800,000원 ×1식 =</t>
    <phoneticPr fontId="3" type="noConversion"/>
  </si>
  <si>
    <t>주차요금 수입</t>
    <phoneticPr fontId="2" type="noConversion"/>
  </si>
  <si>
    <t>4,350,000원 ×12월 =</t>
    <phoneticPr fontId="3" type="noConversion"/>
  </si>
  <si>
    <t>문화재단 리모델링 공사에 따른 감소</t>
  </si>
  <si>
    <t>폐기물처리수수료</t>
    <phoneticPr fontId="2" type="noConversion"/>
  </si>
  <si>
    <t>86,000,000원 ×12월 =</t>
    <phoneticPr fontId="3" type="noConversion"/>
  </si>
  <si>
    <t>지정타 인구 증가로 수요량 증가</t>
    <phoneticPr fontId="2" type="noConversion"/>
  </si>
  <si>
    <t>21,000,000원 ×12월 =</t>
    <phoneticPr fontId="3" type="noConversion"/>
  </si>
  <si>
    <t>수탁주차장 증가에 따른 수입 증액</t>
    <phoneticPr fontId="2" type="noConversion"/>
  </si>
  <si>
    <t xml:space="preserve">  o 상업지역(유인) 공영주차장 수입</t>
    <phoneticPr fontId="3" type="noConversion"/>
  </si>
  <si>
    <t>ㆍ관악산길</t>
    <phoneticPr fontId="2" type="noConversion"/>
  </si>
  <si>
    <t>5,581,000원 × 12월 =</t>
    <phoneticPr fontId="3" type="noConversion"/>
  </si>
  <si>
    <t>2024년 상반기 평균수입 적용</t>
    <phoneticPr fontId="2" type="noConversion"/>
  </si>
  <si>
    <t>ㆍ소방서 뒤</t>
    <phoneticPr fontId="2" type="noConversion"/>
  </si>
  <si>
    <t>4,471,000원 × 12월 =</t>
    <phoneticPr fontId="3" type="noConversion"/>
  </si>
  <si>
    <t>ㆍ중앙빌딩</t>
    <phoneticPr fontId="2" type="noConversion"/>
  </si>
  <si>
    <t>3,763,000원 × 12월 =</t>
    <phoneticPr fontId="3" type="noConversion"/>
  </si>
  <si>
    <t>ㆍ동성빌딩 주변</t>
    <phoneticPr fontId="2" type="noConversion"/>
  </si>
  <si>
    <t>8,099,000원 × 12월 =</t>
    <phoneticPr fontId="3" type="noConversion"/>
  </si>
  <si>
    <t>ㆍ우리은행 옆</t>
    <phoneticPr fontId="2" type="noConversion"/>
  </si>
  <si>
    <t>4,152,000원 × 12월 =</t>
    <phoneticPr fontId="3" type="noConversion"/>
  </si>
  <si>
    <t>ㆍ제일쇼핑 앞</t>
    <phoneticPr fontId="2" type="noConversion"/>
  </si>
  <si>
    <t>3,512,000원 × 12월 =</t>
    <phoneticPr fontId="3" type="noConversion"/>
  </si>
  <si>
    <t>ㆍ새서울쇼핑 앞</t>
    <phoneticPr fontId="2" type="noConversion"/>
  </si>
  <si>
    <t>3,094,000원 × 12월 =</t>
    <phoneticPr fontId="3" type="noConversion"/>
  </si>
  <si>
    <t>ㆍ이마트 앞</t>
    <phoneticPr fontId="2" type="noConversion"/>
  </si>
  <si>
    <t>3,025,000원 × 12월 =</t>
    <phoneticPr fontId="3" type="noConversion"/>
  </si>
  <si>
    <t>ㆍ2단지 앞</t>
    <phoneticPr fontId="2" type="noConversion"/>
  </si>
  <si>
    <t>2,521,000원 × 12월 =</t>
    <phoneticPr fontId="3" type="noConversion"/>
  </si>
  <si>
    <t>ㆍ코오롱 앞(기계식)</t>
    <phoneticPr fontId="2" type="noConversion"/>
  </si>
  <si>
    <t>3,106,000원 × 12월 =</t>
    <phoneticPr fontId="3" type="noConversion"/>
  </si>
  <si>
    <t>ㆍ우체국 앞</t>
    <phoneticPr fontId="2" type="noConversion"/>
  </si>
  <si>
    <t>1,036,000원 × 12월 =</t>
    <phoneticPr fontId="3" type="noConversion"/>
  </si>
  <si>
    <t xml:space="preserve">  o 무인 공영주차장</t>
    <phoneticPr fontId="3" type="noConversion"/>
  </si>
  <si>
    <t>ㆍ농협(경찰서옆) 앞</t>
    <phoneticPr fontId="2" type="noConversion"/>
  </si>
  <si>
    <t>4,082,000원 × 12월 =</t>
  </si>
  <si>
    <t>ㆍ벽산상가 앞</t>
    <phoneticPr fontId="2" type="noConversion"/>
  </si>
  <si>
    <t>2,031,000원 × 12월 =</t>
  </si>
  <si>
    <t>ㆍ골든타워 앞</t>
    <phoneticPr fontId="2" type="noConversion"/>
  </si>
  <si>
    <t>2,004,000원 × 12월 =</t>
  </si>
  <si>
    <t>ㆍ렉스타운 앞(중신교회)</t>
    <phoneticPr fontId="2" type="noConversion"/>
  </si>
  <si>
    <t>9,409,000원 × 12월 =</t>
  </si>
  <si>
    <t>ㆍ그레이스호텔 앞</t>
    <phoneticPr fontId="2" type="noConversion"/>
  </si>
  <si>
    <t>4,440,000원 × 12월 =</t>
  </si>
  <si>
    <t>ㆍ별양동 주차빌딩</t>
    <phoneticPr fontId="2" type="noConversion"/>
  </si>
  <si>
    <t>8,461,000원 × 12월 =</t>
  </si>
  <si>
    <t>ㆍ중앙동 소공원 주차장(신설)</t>
    <phoneticPr fontId="2" type="noConversion"/>
  </si>
  <si>
    <t>543,000원 × 12월 =</t>
  </si>
  <si>
    <t>ㆍ한내(1, 2, 3)</t>
    <phoneticPr fontId="2" type="noConversion"/>
  </si>
  <si>
    <t>842,100원 × 12월 =</t>
  </si>
  <si>
    <t>ㆍ뒷골5</t>
    <phoneticPr fontId="2" type="noConversion"/>
  </si>
  <si>
    <t>602,000원 × 12월 =</t>
  </si>
  <si>
    <t>ㆍ뒷골6</t>
    <phoneticPr fontId="2" type="noConversion"/>
  </si>
  <si>
    <t>2,001,000원 × 12월 =</t>
  </si>
  <si>
    <t>ㆍ뒷골7</t>
    <phoneticPr fontId="2" type="noConversion"/>
  </si>
  <si>
    <t>3,780,000원 × 12월 =</t>
  </si>
  <si>
    <t>ㆍ찬우물(신설)</t>
    <phoneticPr fontId="2" type="noConversion"/>
  </si>
  <si>
    <t>2,230,000원 × 12월 =</t>
  </si>
  <si>
    <t>ㆍ죽바위(신설)</t>
    <phoneticPr fontId="2" type="noConversion"/>
  </si>
  <si>
    <t>18,000원 × 12월 =</t>
  </si>
  <si>
    <t xml:space="preserve">  o 경마장주변 공영주차장</t>
    <phoneticPr fontId="3" type="noConversion"/>
  </si>
  <si>
    <t>ㆍ벌말</t>
    <phoneticPr fontId="2" type="noConversion"/>
  </si>
  <si>
    <t xml:space="preserve">         - 경마공원역 환승주차장</t>
    <phoneticPr fontId="2" type="noConversion"/>
  </si>
  <si>
    <t>ㆍ삼부골</t>
    <phoneticPr fontId="2" type="noConversion"/>
  </si>
  <si>
    <t xml:space="preserve">         -  선바위역 환승주차장</t>
    <phoneticPr fontId="2" type="noConversion"/>
  </si>
  <si>
    <t>ㆍ광창</t>
    <phoneticPr fontId="2" type="noConversion"/>
  </si>
  <si>
    <t xml:space="preserve">         - 광창1(북문노외)</t>
    <phoneticPr fontId="2" type="noConversion"/>
  </si>
  <si>
    <t xml:space="preserve">         - 광창2,3,4(우면산간)</t>
    <phoneticPr fontId="2" type="noConversion"/>
  </si>
  <si>
    <t xml:space="preserve">         - 광창5(광창교)</t>
    <phoneticPr fontId="2" type="noConversion"/>
  </si>
  <si>
    <t>67,583,000원 × 1회 =</t>
    <phoneticPr fontId="3" type="noConversion"/>
  </si>
  <si>
    <t>공시지가 상승에 따른 수수료 증가</t>
    <phoneticPr fontId="2" type="noConversion"/>
  </si>
  <si>
    <t>120,000원 × 2회 =</t>
  </si>
  <si>
    <t>완속형충전기 추가설치에 따른 수입 감소</t>
    <phoneticPr fontId="2" type="noConversion"/>
  </si>
  <si>
    <t>1,500원 × 1,033건 × 12개월 =</t>
    <phoneticPr fontId="3" type="noConversion"/>
  </si>
  <si>
    <t>수입 6개월에서 12개월로 변경, 이용건수 상승</t>
    <phoneticPr fontId="2" type="noConversion"/>
  </si>
  <si>
    <t>10,100,000원 × 1개소 =</t>
    <phoneticPr fontId="3" type="noConversion"/>
  </si>
  <si>
    <t>전년대비 낙찰금액 감소분 반영(△1,998천원)</t>
    <phoneticPr fontId="2" type="noConversion"/>
  </si>
  <si>
    <t>212-9</t>
    <phoneticPr fontId="2" type="noConversion"/>
  </si>
  <si>
    <t xml:space="preserve">※공통사항: 일반강습 수입감소 </t>
    <phoneticPr fontId="2" type="noConversion"/>
  </si>
  <si>
    <t>요인은 다자녀 감면(50%)으로 인한</t>
    <phoneticPr fontId="2" type="noConversion"/>
  </si>
  <si>
    <t>감소이며, 이용인원 감소는 없음</t>
    <phoneticPr fontId="2" type="noConversion"/>
  </si>
  <si>
    <t>3,500원 × 18명 × 20일 × 12월 =</t>
    <phoneticPr fontId="3" type="noConversion"/>
  </si>
  <si>
    <t>ㆍ성인평일(다자녀50%할인)</t>
    <phoneticPr fontId="2" type="noConversion"/>
  </si>
  <si>
    <t>3,500원 × 6명 × 20일 × 12월 × 50% =</t>
    <phoneticPr fontId="3" type="noConversion"/>
  </si>
  <si>
    <t>4,000원 × 35명 × 8일 × 12월 =</t>
    <phoneticPr fontId="3" type="noConversion"/>
  </si>
  <si>
    <t>ㆍ성인주말(다자녀50%할인)</t>
    <phoneticPr fontId="2" type="noConversion"/>
  </si>
  <si>
    <t>4,000원 × 15명 × 8일 × 12월 × 50% =</t>
    <phoneticPr fontId="3" type="noConversion"/>
  </si>
  <si>
    <t>2,100원 × 12명 × 20일 × 12월 =</t>
    <phoneticPr fontId="3" type="noConversion"/>
  </si>
  <si>
    <t>ㆍ노인, 어린이, 청소년 평일(다자녀50%할인)</t>
    <phoneticPr fontId="2" type="noConversion"/>
  </si>
  <si>
    <t>2,100원 × 8명 × 20일 × 12월 × 50% =</t>
    <phoneticPr fontId="3" type="noConversion"/>
  </si>
  <si>
    <t>ㆍ노인, 어린이, 청소년 주말</t>
    <phoneticPr fontId="2" type="noConversion"/>
  </si>
  <si>
    <t>2,400원 × 18명 × 8일 × 12월 =</t>
    <phoneticPr fontId="3" type="noConversion"/>
  </si>
  <si>
    <t>ㆍ노인, 어린이, 청소년 주말(다자녀50%할인)</t>
    <phoneticPr fontId="2" type="noConversion"/>
  </si>
  <si>
    <t>2,400원 × 12명 × 8일 × 12월 × 50%  =</t>
    <phoneticPr fontId="3" type="noConversion"/>
  </si>
  <si>
    <t>2,000원 × 5명 × 29일 × 12월 =</t>
    <phoneticPr fontId="3" type="noConversion"/>
  </si>
  <si>
    <t>2,000원 × 5명 × 29일 × 12월 × 50% =</t>
    <phoneticPr fontId="3" type="noConversion"/>
  </si>
  <si>
    <t xml:space="preserve">  o 생존수영 일일입장(신설)</t>
    <phoneticPr fontId="3" type="noConversion"/>
  </si>
  <si>
    <t>ㆍ초등3학년</t>
    <phoneticPr fontId="2" type="noConversion"/>
  </si>
  <si>
    <t>2,100원 × 20명 × 40개반 × 5회 =</t>
    <phoneticPr fontId="3" type="noConversion"/>
  </si>
  <si>
    <t>생존수영 일일입장 신설로 증가</t>
    <phoneticPr fontId="2" type="noConversion"/>
  </si>
  <si>
    <t>ㆍ초등4학년</t>
    <phoneticPr fontId="2" type="noConversion"/>
  </si>
  <si>
    <t>2,100원 × 20명 × 36개반 × 3회 =</t>
    <phoneticPr fontId="3" type="noConversion"/>
  </si>
  <si>
    <t>60,000원 × 15명 × 12월 =</t>
    <phoneticPr fontId="3" type="noConversion"/>
  </si>
  <si>
    <t>이용 인원 증가</t>
    <phoneticPr fontId="2" type="noConversion"/>
  </si>
  <si>
    <t>60,000원 × 10명 × 12월 × 90% =</t>
    <phoneticPr fontId="3" type="noConversion"/>
  </si>
  <si>
    <t>ㆍ성인(다자녀50%할인)</t>
    <phoneticPr fontId="2" type="noConversion"/>
  </si>
  <si>
    <t>60,000원 × 10명 × 12월 × 50% =</t>
    <phoneticPr fontId="3" type="noConversion"/>
  </si>
  <si>
    <t>48,000원 × 10명 × 12월 =</t>
    <phoneticPr fontId="3" type="noConversion"/>
  </si>
  <si>
    <t>48,000원 × 10명 × 12월 × 90% =</t>
    <phoneticPr fontId="3" type="noConversion"/>
  </si>
  <si>
    <t>ㆍ청소년(다자녀50%할인)</t>
    <phoneticPr fontId="2" type="noConversion"/>
  </si>
  <si>
    <t>48,000원 × 10명 × 12월 × 50% =</t>
    <phoneticPr fontId="3" type="noConversion"/>
  </si>
  <si>
    <t>20,000원 × 9명 × 12월 =</t>
    <phoneticPr fontId="3" type="noConversion"/>
  </si>
  <si>
    <t>ㆍ유아(다자녀50%할인)</t>
    <phoneticPr fontId="2" type="noConversion"/>
  </si>
  <si>
    <t>20,000원 × 6명 × 12월 × 50% =</t>
    <phoneticPr fontId="3" type="noConversion"/>
  </si>
  <si>
    <t>60,000원 × 7명 × 8개반 × 12월 =</t>
    <phoneticPr fontId="3" type="noConversion"/>
  </si>
  <si>
    <t xml:space="preserve">         - 주5회(월~금)(여성10%할인)</t>
    <phoneticPr fontId="2" type="noConversion"/>
  </si>
  <si>
    <t>60,000원 × 4명 × 8개반 × 12월 × 90% =</t>
    <phoneticPr fontId="3" type="noConversion"/>
  </si>
  <si>
    <t xml:space="preserve">         - 주5회(월~금)(다자녀50%할인)</t>
    <phoneticPr fontId="2" type="noConversion"/>
  </si>
  <si>
    <t>60,000원 × 4명 × 8개반 × 12월 × 50% =</t>
    <phoneticPr fontId="3" type="noConversion"/>
  </si>
  <si>
    <t>48,000원 × 1명 × 8개반 × 12월 × 50% =</t>
    <phoneticPr fontId="3" type="noConversion"/>
  </si>
  <si>
    <t>45,000원 × 5명 × 8개반 × 12월 =</t>
    <phoneticPr fontId="3" type="noConversion"/>
  </si>
  <si>
    <t>ㆍ주3회(월,수,금)(여성10%할인)</t>
    <phoneticPr fontId="2" type="noConversion"/>
  </si>
  <si>
    <t>45,000원 × 5명 × 8개반 × 12월 × 90% =</t>
    <phoneticPr fontId="3" type="noConversion"/>
  </si>
  <si>
    <t>ㆍ주3회(월,수,금)(다자녀50%할인)</t>
  </si>
  <si>
    <t>45,000원 × 5명 × 8개반 × 12월 × 50% =</t>
    <phoneticPr fontId="3" type="noConversion"/>
  </si>
  <si>
    <t>38,000원 × 5명 × 3개반 × 12월 =</t>
    <phoneticPr fontId="3" type="noConversion"/>
  </si>
  <si>
    <t>38,000원 × 3명 × 3개반 × 12월 × 90% =</t>
    <phoneticPr fontId="3" type="noConversion"/>
  </si>
  <si>
    <t>ㆍ주2회(화,목)(다자녀50%할인)</t>
    <phoneticPr fontId="2" type="noConversion"/>
  </si>
  <si>
    <t>38,000원 × 3명 × 3개반 × 12월 × 50% =</t>
    <phoneticPr fontId="3" type="noConversion"/>
  </si>
  <si>
    <t>ㆍ주3회(월,수,금)(여성10%할인)</t>
  </si>
  <si>
    <t>30,000원 × 2명 × 8개반 × 12월 × 90% =</t>
    <phoneticPr fontId="3" type="noConversion"/>
  </si>
  <si>
    <t>30,000원 × 1명 × 8개반 × 12월 × 50% =</t>
    <phoneticPr fontId="3" type="noConversion"/>
  </si>
  <si>
    <t>25,500원 × 2명 × 3개반 × 12월 × 90% =</t>
    <phoneticPr fontId="3" type="noConversion"/>
  </si>
  <si>
    <t>ㆍ주2회(화,목)(다자녀50%할인)</t>
  </si>
  <si>
    <t>25,500원 × 1명 × 3개반 × 12월 × 50% =</t>
    <phoneticPr fontId="3" type="noConversion"/>
  </si>
  <si>
    <t xml:space="preserve">ㆍ주2회(화,목)(여성10%할인) </t>
  </si>
  <si>
    <t>70,000원 × 2명 × 5개반 × 4월 × 90% =</t>
    <phoneticPr fontId="3" type="noConversion"/>
  </si>
  <si>
    <t xml:space="preserve">ㆍ주2회(화,목)(다자녀50%할인) </t>
  </si>
  <si>
    <t>70,000원 × 2명 × 5개반 × 4월 × 50% =</t>
    <phoneticPr fontId="3" type="noConversion"/>
  </si>
  <si>
    <t>55,000원 × 1명 × 5개반 × 4월 × 50% =</t>
    <phoneticPr fontId="3" type="noConversion"/>
  </si>
  <si>
    <t>39,000원 × 14명 × 12월 =</t>
    <phoneticPr fontId="3" type="noConversion"/>
  </si>
  <si>
    <t>실이용인원 반영으로 증가</t>
    <phoneticPr fontId="2" type="noConversion"/>
  </si>
  <si>
    <t>38,400원 × 8명 × 12월 =</t>
    <phoneticPr fontId="3" type="noConversion"/>
  </si>
  <si>
    <t>다자녀 할인에 따른 감소 및 월 이용인원 2명 증가</t>
    <phoneticPr fontId="2" type="noConversion"/>
  </si>
  <si>
    <t>ㆍ주3회(월,수,금)(다자녀50%할인)</t>
    <phoneticPr fontId="2" type="noConversion"/>
  </si>
  <si>
    <t>38,400원 × 4명 × 12월 × 50% =</t>
    <phoneticPr fontId="3" type="noConversion"/>
  </si>
  <si>
    <t>27,600원 × 8명 × 12월 =</t>
    <phoneticPr fontId="3" type="noConversion"/>
  </si>
  <si>
    <t>27,600원 × 4명 × 12월 × 50% =</t>
    <phoneticPr fontId="3" type="noConversion"/>
  </si>
  <si>
    <t>52,000원 × 8명 × 2개반 × 12월 =</t>
    <phoneticPr fontId="3" type="noConversion"/>
  </si>
  <si>
    <t>52,000원 × 1명 × 2개반 × 12월 × 90% =</t>
    <phoneticPr fontId="3" type="noConversion"/>
  </si>
  <si>
    <t>52,000원 × 6명 × 2개반 × 12월 × 50% =</t>
    <phoneticPr fontId="3" type="noConversion"/>
  </si>
  <si>
    <t>32,000원 × 9명 × 7개반 × 12월 =</t>
    <phoneticPr fontId="3" type="noConversion"/>
  </si>
  <si>
    <t>32,000원 × 2명 × 7개반 × 12월 × 90% =</t>
    <phoneticPr fontId="3" type="noConversion"/>
  </si>
  <si>
    <t>32,000원 × 7명 × 7개반 × 12월 × 50% =</t>
    <phoneticPr fontId="3" type="noConversion"/>
  </si>
  <si>
    <t>21,300원 × 9명 × 8개반 × 12월 =</t>
    <phoneticPr fontId="3" type="noConversion"/>
  </si>
  <si>
    <t>21,300원 × 2명 × 8개반 × 12월 × 90% =</t>
    <phoneticPr fontId="3" type="noConversion"/>
  </si>
  <si>
    <t>21,300원 × 7명 × 8개반 × 12월 × 50% =</t>
    <phoneticPr fontId="3" type="noConversion"/>
  </si>
  <si>
    <t>36,400원 × 2조 × 12월 =</t>
    <phoneticPr fontId="3" type="noConversion"/>
  </si>
  <si>
    <t>36,400원 × 1조 × 12월 × 50% =</t>
    <phoneticPr fontId="3" type="noConversion"/>
  </si>
  <si>
    <t>32,000원 × 10명 × 4개반 × 2회 =</t>
    <phoneticPr fontId="3" type="noConversion"/>
  </si>
  <si>
    <t>다자녀 할인에 따른 감소 및 1개반 증설, 회당 이용인원 1명 증가</t>
    <phoneticPr fontId="2" type="noConversion"/>
  </si>
  <si>
    <t xml:space="preserve">  o 방학특강(주5회)(다자녀50%할인)</t>
    <phoneticPr fontId="3" type="noConversion"/>
  </si>
  <si>
    <t>32,000원 × 6명 × 4개반 × 2회 × 50% =</t>
    <phoneticPr fontId="3" type="noConversion"/>
  </si>
  <si>
    <t>20,000원 × 80명 × 12월 =</t>
    <phoneticPr fontId="3" type="noConversion"/>
  </si>
  <si>
    <t>48,000원 × 5명 × 2회 =</t>
    <phoneticPr fontId="3" type="noConversion"/>
  </si>
  <si>
    <t xml:space="preserve">  o 수상인명구조요원 특별강습(다자녀50%할인)</t>
    <phoneticPr fontId="3" type="noConversion"/>
  </si>
  <si>
    <t>48,000원 × 2명 × 2회 × 50% =</t>
    <phoneticPr fontId="3" type="noConversion"/>
  </si>
  <si>
    <t>90,000원 × 2가족 × 1개반 × 6기 =</t>
    <phoneticPr fontId="3" type="noConversion"/>
  </si>
  <si>
    <t xml:space="preserve">  o 주말가족생존수영교실(다자녀50%할인)</t>
    <phoneticPr fontId="3" type="noConversion"/>
  </si>
  <si>
    <t>90,000원 × 1가족 × 1개반 × 6기 × 50% =</t>
    <phoneticPr fontId="3" type="noConversion"/>
  </si>
  <si>
    <t xml:space="preserve">  o 주말마스터반(다자녀50%할인)</t>
    <phoneticPr fontId="3" type="noConversion"/>
  </si>
  <si>
    <t>39,000원 × 4명 × 12월 × 50% =</t>
    <phoneticPr fontId="3" type="noConversion"/>
  </si>
  <si>
    <t>3,000원 × 35명 × 52주 =</t>
    <phoneticPr fontId="3" type="noConversion"/>
  </si>
  <si>
    <t>3,000원 × 20명 × 52주 × 50% =</t>
    <phoneticPr fontId="3" type="noConversion"/>
  </si>
  <si>
    <t>1,500원 ×  5명 × 52주 × 50% =</t>
    <phoneticPr fontId="3" type="noConversion"/>
  </si>
  <si>
    <t>39,000원 × 6명 × 3개반 × 12월 × 50% =</t>
    <phoneticPr fontId="3" type="noConversion"/>
  </si>
  <si>
    <t>26,000원 × 3명 × 3개반 × 12월 =</t>
    <phoneticPr fontId="3" type="noConversion"/>
  </si>
  <si>
    <t>26,000원 ×  2명 × 3개반 × 12월 × 50% =</t>
    <phoneticPr fontId="3" type="noConversion"/>
  </si>
  <si>
    <t>프로그램 폐강</t>
    <phoneticPr fontId="2" type="noConversion"/>
  </si>
  <si>
    <t>45,000원 × 8명 × 5개반 × 12월 =</t>
    <phoneticPr fontId="3" type="noConversion"/>
  </si>
  <si>
    <t>45,000원 ×  4명 × 5개반 × 12월 × 50% =</t>
    <phoneticPr fontId="3" type="noConversion"/>
  </si>
  <si>
    <t xml:space="preserve">  o 수영 체력훈련교실</t>
    <phoneticPr fontId="3" type="noConversion"/>
  </si>
  <si>
    <t xml:space="preserve">정원 8명→12명으로 증가 </t>
    <phoneticPr fontId="2" type="noConversion"/>
  </si>
  <si>
    <t>52,000원 ×  4명 × 1개반 × 12월 × 50% =</t>
    <phoneticPr fontId="3" type="noConversion"/>
  </si>
  <si>
    <t>프로그램 폐강으로 감소</t>
    <phoneticPr fontId="2" type="noConversion"/>
  </si>
  <si>
    <t>프로그램 폐강으로</t>
    <phoneticPr fontId="2" type="noConversion"/>
  </si>
  <si>
    <t xml:space="preserve">  o 다목적실 프로그램(신설)</t>
    <phoneticPr fontId="3" type="noConversion"/>
  </si>
  <si>
    <t>프그램 신설</t>
    <phoneticPr fontId="2" type="noConversion"/>
  </si>
  <si>
    <t>ㆍ파워체형교실(월,수,금)</t>
    <phoneticPr fontId="2" type="noConversion"/>
  </si>
  <si>
    <t>45,000원 ×  10명 × 2개반 × 9월 =</t>
    <phoneticPr fontId="3" type="noConversion"/>
  </si>
  <si>
    <t>ㆍ파워체형교실(월,수,금)(다자녀50%할인)</t>
    <phoneticPr fontId="2" type="noConversion"/>
  </si>
  <si>
    <t>45,000원 ×  5명 × 2개반 × 9월 × 50% =</t>
    <phoneticPr fontId="3" type="noConversion"/>
  </si>
  <si>
    <t>ㆍ파워체형교실(화,목)</t>
    <phoneticPr fontId="2" type="noConversion"/>
  </si>
  <si>
    <t>30,000원 ×  10명 × 2개반 × 9월 =</t>
    <phoneticPr fontId="3" type="noConversion"/>
  </si>
  <si>
    <t>ㆍ파워체형교실(화,목)(다자녀50%할인)</t>
    <phoneticPr fontId="2" type="noConversion"/>
  </si>
  <si>
    <t>30,000원 × 5명 × 2개반 × 9월 × 50% =</t>
    <phoneticPr fontId="3" type="noConversion"/>
  </si>
  <si>
    <t>2,500원 × 15명 × 12월 =</t>
    <phoneticPr fontId="3" type="noConversion"/>
  </si>
  <si>
    <t>ㆍ일일입장(다자녀50%할인)</t>
    <phoneticPr fontId="2" type="noConversion"/>
  </si>
  <si>
    <t>2,500원 ×  10명 × 12월 × 50% =</t>
    <phoneticPr fontId="3" type="noConversion"/>
  </si>
  <si>
    <t>57,200원 × 11명 × 12월 =</t>
    <phoneticPr fontId="3" type="noConversion"/>
  </si>
  <si>
    <t>57,200원 × 10명 × 12월 × 50% =</t>
    <phoneticPr fontId="3" type="noConversion"/>
  </si>
  <si>
    <t>41,600원 ×  1명 × 12월 × 50% =</t>
    <phoneticPr fontId="3" type="noConversion"/>
  </si>
  <si>
    <t>35,000원 × 5명 × 12월 =</t>
    <phoneticPr fontId="3" type="noConversion"/>
  </si>
  <si>
    <t>금액인상에 따른 증가</t>
    <phoneticPr fontId="2" type="noConversion"/>
  </si>
  <si>
    <t>ㆍ단소 배드민턴(월,수,금)(다자녀50%할인)</t>
    <phoneticPr fontId="2" type="noConversion"/>
  </si>
  <si>
    <t>35,000원 ×  2명 × 12월 × 50% =</t>
    <phoneticPr fontId="3" type="noConversion"/>
  </si>
  <si>
    <t>ㆍ아침 청소년 배드민턴(월,수,금)</t>
    <phoneticPr fontId="2" type="noConversion"/>
  </si>
  <si>
    <t>30,000원 × 8명 × 12월 =</t>
    <phoneticPr fontId="3" type="noConversion"/>
  </si>
  <si>
    <t>이용인원 월 8명 증가</t>
    <phoneticPr fontId="2" type="noConversion"/>
  </si>
  <si>
    <t>ㆍ아침 청소년배드민턴(월,수,금)(다자녀50%할인)</t>
    <phoneticPr fontId="2" type="noConversion"/>
  </si>
  <si>
    <t>30,000원 ×  4명 × 12월 × 50% =</t>
    <phoneticPr fontId="3" type="noConversion"/>
  </si>
  <si>
    <t>ㆍ아침 청소년 배드민턴(화,목)</t>
    <phoneticPr fontId="2" type="noConversion"/>
  </si>
  <si>
    <t>이용인원 월 6명 증가</t>
    <phoneticPr fontId="2" type="noConversion"/>
  </si>
  <si>
    <t>ㆍ아침 청소년 배드민턴(화,목)(다자녀50%할인)</t>
    <phoneticPr fontId="2" type="noConversion"/>
  </si>
  <si>
    <t>20,000원 ×  4명 × 12월 × 50% =</t>
    <phoneticPr fontId="3" type="noConversion"/>
  </si>
  <si>
    <t>20,000원 × 12명 × 12월 =</t>
    <phoneticPr fontId="3" type="noConversion"/>
  </si>
  <si>
    <t>ㆍ주말 청소년 배드민턴(다자녀50%할인)</t>
    <phoneticPr fontId="2" type="noConversion"/>
  </si>
  <si>
    <t>20,000원 ×  8명 × 12월 × 50% =</t>
    <phoneticPr fontId="3" type="noConversion"/>
  </si>
  <si>
    <t>62,000원 × 1조 × 12월 =</t>
    <phoneticPr fontId="3" type="noConversion"/>
  </si>
  <si>
    <t>ㆍ주말 가족 배드민턴(3인)(다자녀50%할인)</t>
    <phoneticPr fontId="2" type="noConversion"/>
  </si>
  <si>
    <t>62,000원 ×  1조 × 12월 × 50% =</t>
    <phoneticPr fontId="3" type="noConversion"/>
  </si>
  <si>
    <t>45,000원 × 9명 × 1개반 × 2회 =</t>
    <phoneticPr fontId="3" type="noConversion"/>
  </si>
  <si>
    <t>다자녀 할인에 따른 감소 및 회당 이용인원 5명 증가</t>
    <phoneticPr fontId="2" type="noConversion"/>
  </si>
  <si>
    <t>ㆍ배드민턴 방학특강(다자녀50%할인)</t>
    <phoneticPr fontId="2" type="noConversion"/>
  </si>
  <si>
    <t>45,000원 ×  6명 × 1개반 × 2회 × 50% =</t>
    <phoneticPr fontId="3" type="noConversion"/>
  </si>
  <si>
    <t>40,000원 × 4명 × 12월 =</t>
    <phoneticPr fontId="3" type="noConversion"/>
  </si>
  <si>
    <t>2024년 실수입액 반영으로 증가</t>
    <phoneticPr fontId="2" type="noConversion"/>
  </si>
  <si>
    <t>26,000원 ×  6명 × 12월 × 50% =</t>
    <phoneticPr fontId="3" type="noConversion"/>
  </si>
  <si>
    <t>24,000원 ×  6명 × 12월 × 50% =</t>
    <phoneticPr fontId="3" type="noConversion"/>
  </si>
  <si>
    <t>45,000원 × 8명 × 1개반× 2회 =</t>
    <phoneticPr fontId="3" type="noConversion"/>
  </si>
  <si>
    <t>다자녀 할인에 따른 감소 및 회당 이용인원 6명 증가</t>
    <phoneticPr fontId="2" type="noConversion"/>
  </si>
  <si>
    <t>ㆍ농구 방학특강(주5회)(다자녀50%할인)</t>
    <phoneticPr fontId="2" type="noConversion"/>
  </si>
  <si>
    <t>45,000원 ×  8명 × 1개반 × 2회 × 50% =</t>
    <phoneticPr fontId="3" type="noConversion"/>
  </si>
  <si>
    <t>24,000원 × 6명 × 3개반 × 12월 =</t>
    <phoneticPr fontId="3" type="noConversion"/>
  </si>
  <si>
    <t>24,000원 × 6명 × 12월 × 90% =</t>
    <phoneticPr fontId="3" type="noConversion"/>
  </si>
  <si>
    <t>ㆍ어린이(다자녀50%할인)</t>
    <phoneticPr fontId="2" type="noConversion"/>
  </si>
  <si>
    <t>프로그램 폐강에 따른 감소</t>
    <phoneticPr fontId="2" type="noConversion"/>
  </si>
  <si>
    <t>프로그램 폐강에 따른 감소</t>
  </si>
  <si>
    <t xml:space="preserve">  o 어린이 풋살교실(신설)</t>
    <phoneticPr fontId="3" type="noConversion"/>
  </si>
  <si>
    <t>115,000원 × 9명 × 12월 =</t>
    <phoneticPr fontId="3" type="noConversion"/>
  </si>
  <si>
    <t>프로그램 신설</t>
    <phoneticPr fontId="2" type="noConversion"/>
  </si>
  <si>
    <t>115,000원 ×  7명 × 12월 × 50% =</t>
    <phoneticPr fontId="3" type="noConversion"/>
  </si>
  <si>
    <t>77,000원 × 10명 × 12월 =</t>
    <phoneticPr fontId="3" type="noConversion"/>
  </si>
  <si>
    <t>ㆍ주1회(토)(다자녀50%할인)</t>
    <phoneticPr fontId="2" type="noConversion"/>
  </si>
  <si>
    <t>77,000원 ×  6명 × 12월 × 50% =</t>
    <phoneticPr fontId="3" type="noConversion"/>
  </si>
  <si>
    <t>7,500원 ×  5명 × 12월 × 50% =</t>
    <phoneticPr fontId="3" type="noConversion"/>
  </si>
  <si>
    <t>5,000원 ×  5명 × 12월 × 50% =</t>
    <phoneticPr fontId="3" type="noConversion"/>
  </si>
  <si>
    <t>1,000원 × 1식 =</t>
    <phoneticPr fontId="3" type="noConversion"/>
  </si>
  <si>
    <t>3,500원 × 920명× 12월 =</t>
    <phoneticPr fontId="3" type="noConversion"/>
  </si>
  <si>
    <t>다자녀 감면</t>
    <phoneticPr fontId="3" type="noConversion"/>
  </si>
  <si>
    <t>ㆍ성인(다자녀20%할인)</t>
    <phoneticPr fontId="2" type="noConversion"/>
  </si>
  <si>
    <t xml:space="preserve">                                             3,500원 × 230명× 12월 × 80% =</t>
    <phoneticPr fontId="3" type="noConversion"/>
  </si>
  <si>
    <t>ㆍ청소년</t>
  </si>
  <si>
    <t>2,900원 × 240명 × 12월 =</t>
    <phoneticPr fontId="3" type="noConversion"/>
  </si>
  <si>
    <t>ㆍ청소년(다자녀20%할인)</t>
    <phoneticPr fontId="2" type="noConversion"/>
  </si>
  <si>
    <t xml:space="preserve">                                              2,900원 × 60명 × 12월 × 80% =</t>
    <phoneticPr fontId="3" type="noConversion"/>
  </si>
  <si>
    <t>2,100원 × 880명 × 12월 =</t>
    <phoneticPr fontId="2" type="noConversion"/>
  </si>
  <si>
    <t>다자녀 가면</t>
    <phoneticPr fontId="3" type="noConversion"/>
  </si>
  <si>
    <t>ㆍ어린이(다자녀20%할인)</t>
    <phoneticPr fontId="2" type="noConversion"/>
  </si>
  <si>
    <t>2,100원 × 220명 × 12월 × 80% =</t>
    <phoneticPr fontId="3" type="noConversion"/>
  </si>
  <si>
    <t xml:space="preserve">  o 월 이용료</t>
    <phoneticPr fontId="3" type="noConversion"/>
  </si>
  <si>
    <t>ㆍ성인</t>
  </si>
  <si>
    <t>60,000원 × 40명 × 12월 =</t>
    <phoneticPr fontId="3" type="noConversion"/>
  </si>
  <si>
    <t>정기 이용 증가</t>
    <phoneticPr fontId="3" type="noConversion"/>
  </si>
  <si>
    <t xml:space="preserve">                                        60,000원 × 10명 × 12월 × 80% =</t>
    <phoneticPr fontId="3" type="noConversion"/>
  </si>
  <si>
    <t>60,000원 × 60명 × 12월 × 90% =</t>
    <phoneticPr fontId="3" type="noConversion"/>
  </si>
  <si>
    <t>53,000원 × 8명 × 12월 =</t>
    <phoneticPr fontId="3" type="noConversion"/>
  </si>
  <si>
    <t xml:space="preserve">                                          53,000원 × 2명 × 12월 × 80% =</t>
    <phoneticPr fontId="3" type="noConversion"/>
  </si>
  <si>
    <t>53,000원 × 5명 × 12월 × 90%=</t>
    <phoneticPr fontId="3" type="noConversion"/>
  </si>
  <si>
    <t>ㆍ어린이</t>
  </si>
  <si>
    <t>40,000원 × 48명 × 12월 =</t>
    <phoneticPr fontId="3" type="noConversion"/>
  </si>
  <si>
    <t>40,000원 × 12명 × 12월 × 80% =</t>
    <phoneticPr fontId="3" type="noConversion"/>
  </si>
  <si>
    <t>40,000원 × 60명 × 12월 × 90% =</t>
    <phoneticPr fontId="3" type="noConversion"/>
  </si>
  <si>
    <t xml:space="preserve">정기 이용 증가  </t>
    <phoneticPr fontId="3" type="noConversion"/>
  </si>
  <si>
    <t>ㆍ새벽,저녁반(성인)(06시,07시,19시,20시,21시)</t>
    <phoneticPr fontId="2" type="noConversion"/>
  </si>
  <si>
    <t xml:space="preserve">       - 주5회(월~금)</t>
    <phoneticPr fontId="2" type="noConversion"/>
  </si>
  <si>
    <t>주 5회 프로그램 종료(분반)</t>
    <phoneticPr fontId="3" type="noConversion"/>
  </si>
  <si>
    <t xml:space="preserve">       - 주5회(월~금)(여성10%할인)</t>
    <phoneticPr fontId="2" type="noConversion"/>
  </si>
  <si>
    <t xml:space="preserve">       - 주3회(월,수,금)</t>
    <phoneticPr fontId="2" type="noConversion"/>
  </si>
  <si>
    <t>36,000원 × 200명 × 12월 =</t>
    <phoneticPr fontId="3" type="noConversion"/>
  </si>
  <si>
    <t>프로그램 개편(분반)</t>
    <phoneticPr fontId="3" type="noConversion"/>
  </si>
  <si>
    <t xml:space="preserve">       - 주3회(월,수,금)(다자녀20%할인)</t>
    <phoneticPr fontId="2" type="noConversion"/>
  </si>
  <si>
    <t xml:space="preserve">                                         36,000원 × 50명 × 12월 × 80% =</t>
    <phoneticPr fontId="3" type="noConversion"/>
  </si>
  <si>
    <t xml:space="preserve">       - 주3회(월,수,금)(여성10%할인)</t>
    <phoneticPr fontId="2" type="noConversion"/>
  </si>
  <si>
    <t>36,000원 × 350명 × 12월 × 90% =</t>
    <phoneticPr fontId="3" type="noConversion"/>
  </si>
  <si>
    <t xml:space="preserve">       - 주2회(화,목)</t>
    <phoneticPr fontId="2" type="noConversion"/>
  </si>
  <si>
    <t>24,000원 × 200명 × 12월 =</t>
    <phoneticPr fontId="3" type="noConversion"/>
  </si>
  <si>
    <t xml:space="preserve">       - 주2회(화,목)(다자녀20%할인)</t>
    <phoneticPr fontId="2" type="noConversion"/>
  </si>
  <si>
    <t>24,000원 × 50명 × 12월 × 80% =</t>
    <phoneticPr fontId="3" type="noConversion"/>
  </si>
  <si>
    <t xml:space="preserve">       - 주2회(화,목)(여성10%할인)</t>
    <phoneticPr fontId="2" type="noConversion"/>
  </si>
  <si>
    <t>24,000원 × 350명 × 12월 × 90% =</t>
    <phoneticPr fontId="3" type="noConversion"/>
  </si>
  <si>
    <t>ㆍ새벽,저녁반(청소년)(06시,07시,19시,20시,21시)</t>
    <phoneticPr fontId="2" type="noConversion"/>
  </si>
  <si>
    <t>33,000원 × 20명 × 12월 =</t>
    <phoneticPr fontId="3" type="noConversion"/>
  </si>
  <si>
    <t>33,000원 × 5명 × 12월 × 80% =</t>
    <phoneticPr fontId="3" type="noConversion"/>
  </si>
  <si>
    <t>33,000원 × 35명 × 12월 × 90% =</t>
    <phoneticPr fontId="3" type="noConversion"/>
  </si>
  <si>
    <t>22,000원 × 20명 × 12월 =</t>
    <phoneticPr fontId="3" type="noConversion"/>
  </si>
  <si>
    <t>22,000원 × 5명 × 12월 × 80% =</t>
    <phoneticPr fontId="3" type="noConversion"/>
  </si>
  <si>
    <t>22,000원 × 35명 × 12월 × 90% =</t>
    <phoneticPr fontId="3" type="noConversion"/>
  </si>
  <si>
    <t>ㆍ오전성인여성반(09시,10시,11시)</t>
    <phoneticPr fontId="2" type="noConversion"/>
  </si>
  <si>
    <t>36,000원 × 14명 × 12월 × 80%=</t>
    <phoneticPr fontId="3" type="noConversion"/>
  </si>
  <si>
    <t>36,000원 × 280명 × 12월 × 90% =</t>
    <phoneticPr fontId="3" type="noConversion"/>
  </si>
  <si>
    <t>24,000원 × 14명 × 12월 ×80% =</t>
    <phoneticPr fontId="3" type="noConversion"/>
  </si>
  <si>
    <t>24,000원 × 280명 × 12월 × 90% =</t>
    <phoneticPr fontId="3" type="noConversion"/>
  </si>
  <si>
    <t>ㆍ유아반(15시,16시)</t>
  </si>
  <si>
    <t>40,000원 × 10명 × 12월 =</t>
    <phoneticPr fontId="3" type="noConversion"/>
  </si>
  <si>
    <t>40,000원 × 15명 × 12월 × 80% =</t>
    <phoneticPr fontId="3" type="noConversion"/>
  </si>
  <si>
    <t xml:space="preserve">       - 주2회(화,목) </t>
    <phoneticPr fontId="2" type="noConversion"/>
  </si>
  <si>
    <t>30,000원 × 15명 × 12월 × 80% =</t>
    <phoneticPr fontId="3" type="noConversion"/>
  </si>
  <si>
    <t>ㆍ어린이반(15시,16시,17시)</t>
  </si>
  <si>
    <t>65,000원 × 10명 × 12월 =</t>
    <phoneticPr fontId="3" type="noConversion"/>
  </si>
  <si>
    <t>65,000원 × 15명 × 12월 × 80% =</t>
    <phoneticPr fontId="3" type="noConversion"/>
  </si>
  <si>
    <t xml:space="preserve">       - 주6회(월~토)강습+1회(토)</t>
    <phoneticPr fontId="2" type="noConversion"/>
  </si>
  <si>
    <t>75,000원 × 4명 × 12월 =</t>
    <phoneticPr fontId="3" type="noConversion"/>
  </si>
  <si>
    <t xml:space="preserve">       - 주6회(월~토)강습+1회(토)(다자녀20%할인)</t>
    <phoneticPr fontId="2" type="noConversion"/>
  </si>
  <si>
    <t>75,000원 × 6명 × 12월 × 80% =</t>
    <phoneticPr fontId="3" type="noConversion"/>
  </si>
  <si>
    <t>31,000원 × 50명 × 12월 =</t>
    <phoneticPr fontId="3" type="noConversion"/>
  </si>
  <si>
    <t>31,000원 × 80명 × 12월 × 80% =</t>
    <phoneticPr fontId="3" type="noConversion"/>
  </si>
  <si>
    <t xml:space="preserve">       - 주2회(화,목)강습+1회(토)자유수영</t>
    <phoneticPr fontId="2" type="noConversion"/>
  </si>
  <si>
    <t>프로그램 개편으로 종료</t>
    <phoneticPr fontId="3" type="noConversion"/>
  </si>
  <si>
    <t xml:space="preserve">       - 주2회(화,목)강습+1회(토)자유수영(여성10%할인)</t>
    <phoneticPr fontId="2" type="noConversion"/>
  </si>
  <si>
    <t>21,000원 × 60명 × 12월 =</t>
    <phoneticPr fontId="3" type="noConversion"/>
  </si>
  <si>
    <t>21,000원 × 90명 × 12월 × 80% =</t>
    <phoneticPr fontId="3" type="noConversion"/>
  </si>
  <si>
    <t>21,000원 × 40명 × 12월 × 90% =</t>
    <phoneticPr fontId="3" type="noConversion"/>
  </si>
  <si>
    <t>강습회원 증가</t>
    <phoneticPr fontId="3" type="noConversion"/>
  </si>
  <si>
    <t xml:space="preserve">       - 주1회(토)2시간강습</t>
    <phoneticPr fontId="2" type="noConversion"/>
  </si>
  <si>
    <t xml:space="preserve">       - 주1회(토)2시간강습(여성10%할인)</t>
    <phoneticPr fontId="2" type="noConversion"/>
  </si>
  <si>
    <t xml:space="preserve">       - 주1회(토)1.5시간강습</t>
    <phoneticPr fontId="2" type="noConversion"/>
  </si>
  <si>
    <t xml:space="preserve">       - 주1회(토)1.5시간강습(여성10%할인)</t>
    <phoneticPr fontId="2" type="noConversion"/>
  </si>
  <si>
    <t xml:space="preserve">       - 주1회(토)</t>
    <phoneticPr fontId="2" type="noConversion"/>
  </si>
  <si>
    <t>11,000원 × 80명 × 12월 =</t>
    <phoneticPr fontId="3" type="noConversion"/>
  </si>
  <si>
    <t>프로그램 개편</t>
    <phoneticPr fontId="3" type="noConversion"/>
  </si>
  <si>
    <t xml:space="preserve">       - 주1회(토)(다자녀20%할인)</t>
    <phoneticPr fontId="2" type="noConversion"/>
  </si>
  <si>
    <t>11,000원 × 100명 × 12월 × 80% =</t>
    <phoneticPr fontId="3" type="noConversion"/>
  </si>
  <si>
    <t xml:space="preserve">       - 주1회(토)(여성10%할인)</t>
    <phoneticPr fontId="2" type="noConversion"/>
  </si>
  <si>
    <t>11,000원 × 20명 × 12월 × 90% =</t>
    <phoneticPr fontId="3" type="noConversion"/>
  </si>
  <si>
    <t>ㆍ실버수중체조교실(13시)</t>
  </si>
  <si>
    <t xml:space="preserve">       - 주3회(월,수,금)(노인50%할인)</t>
    <phoneticPr fontId="2" type="noConversion"/>
  </si>
  <si>
    <t xml:space="preserve">                                                  39,000원 × 24명 × 12월× 50% =</t>
    <phoneticPr fontId="3" type="noConversion"/>
  </si>
  <si>
    <t>노인 감면</t>
    <phoneticPr fontId="3" type="noConversion"/>
  </si>
  <si>
    <t xml:space="preserve">       - 주2회(화,목)(노인50%할인)</t>
    <phoneticPr fontId="2" type="noConversion"/>
  </si>
  <si>
    <t xml:space="preserve">                                                 26,000원 × 24명 × 12월× 50% =</t>
    <phoneticPr fontId="3" type="noConversion"/>
  </si>
  <si>
    <t>ㆍ단체반</t>
  </si>
  <si>
    <t xml:space="preserve">       - 주3회</t>
    <phoneticPr fontId="2" type="noConversion"/>
  </si>
  <si>
    <t xml:space="preserve">       - 주2회</t>
    <phoneticPr fontId="2" type="noConversion"/>
  </si>
  <si>
    <t xml:space="preserve">       - 주1회</t>
    <phoneticPr fontId="2" type="noConversion"/>
  </si>
  <si>
    <t>ㆍ아기사랑수영교실</t>
  </si>
  <si>
    <t>ㆍ임산부 수중태교 교실</t>
  </si>
  <si>
    <t>ㆍ아쿠아로빅 교실 (08시,13시,14시)</t>
  </si>
  <si>
    <t xml:space="preserve">       - 주3회(월,수,금)(화,목,토)</t>
    <phoneticPr fontId="2" type="noConversion"/>
  </si>
  <si>
    <t>노인감면</t>
    <phoneticPr fontId="3" type="noConversion"/>
  </si>
  <si>
    <t>ㆍ즐토요 모닝 아쿠아로빅</t>
  </si>
  <si>
    <t xml:space="preserve">       - 성인, 청소년</t>
    <phoneticPr fontId="2" type="noConversion"/>
  </si>
  <si>
    <t>정규 강습 인원 증가로 일일 강습 종료</t>
    <phoneticPr fontId="3" type="noConversion"/>
  </si>
  <si>
    <t xml:space="preserve">       - 노인</t>
    <phoneticPr fontId="2" type="noConversion"/>
  </si>
  <si>
    <t>수요 부족으로 인한 프로그램 종료</t>
    <phoneticPr fontId="2" type="noConversion"/>
  </si>
  <si>
    <t xml:space="preserve">       - 1차 3인가족</t>
    <phoneticPr fontId="2" type="noConversion"/>
  </si>
  <si>
    <t xml:space="preserve">       - 2차 3인가족</t>
    <phoneticPr fontId="2" type="noConversion"/>
  </si>
  <si>
    <t xml:space="preserve">       - 어린이</t>
    <phoneticPr fontId="2" type="noConversion"/>
  </si>
  <si>
    <t xml:space="preserve">       - 어린이(여성10%할인)</t>
    <phoneticPr fontId="2" type="noConversion"/>
  </si>
  <si>
    <t>41,000원 × 10명 × 4개반 × 2월 × 90% =</t>
    <phoneticPr fontId="3" type="noConversion"/>
  </si>
  <si>
    <t xml:space="preserve">       - 청소년</t>
    <phoneticPr fontId="2" type="noConversion"/>
  </si>
  <si>
    <t xml:space="preserve">       - 청소년(여성10%할인)</t>
    <phoneticPr fontId="2" type="noConversion"/>
  </si>
  <si>
    <t>47,500원 × 10명 × 1개반 × 2월 × 90% =</t>
    <phoneticPr fontId="3" type="noConversion"/>
  </si>
  <si>
    <t>5,000원 × 500실 × 12월 =</t>
    <phoneticPr fontId="3" type="noConversion"/>
  </si>
  <si>
    <t>북카페 운영으로 인한  144실 철거</t>
    <phoneticPr fontId="3" type="noConversion"/>
  </si>
  <si>
    <t xml:space="preserve">       - 평일</t>
    <phoneticPr fontId="2" type="noConversion"/>
  </si>
  <si>
    <t>670명 × 3게임 × 2,600원 × 12월 =</t>
    <phoneticPr fontId="3" type="noConversion"/>
  </si>
  <si>
    <t>다자녀 감면 및 노인 분리</t>
    <phoneticPr fontId="3" type="noConversion"/>
  </si>
  <si>
    <t xml:space="preserve">       - 평일(다자녀20%할인)</t>
    <phoneticPr fontId="3" type="noConversion"/>
  </si>
  <si>
    <t>10명 × 3게임 × 2,600원 × 12월 × 80%  =</t>
    <phoneticPr fontId="3" type="noConversion"/>
  </si>
  <si>
    <t xml:space="preserve">       - 주말</t>
    <phoneticPr fontId="2" type="noConversion"/>
  </si>
  <si>
    <t>570명 × 3게임 × 2,800원 × 12월 =</t>
    <phoneticPr fontId="3" type="noConversion"/>
  </si>
  <si>
    <t xml:space="preserve">       - 주말(다자녀20%할인)</t>
    <phoneticPr fontId="3" type="noConversion"/>
  </si>
  <si>
    <t>10명 × 3게임 × 2,800원 × 12월 x 80% =</t>
    <phoneticPr fontId="3" type="noConversion"/>
  </si>
  <si>
    <t xml:space="preserve">ㆍ노인 </t>
    <phoneticPr fontId="2" type="noConversion"/>
  </si>
  <si>
    <t xml:space="preserve">       - 평일(노인50%할인)</t>
    <phoneticPr fontId="3" type="noConversion"/>
  </si>
  <si>
    <t>10명 × 3게임 × 2,600원 × 12월 x 50% =</t>
    <phoneticPr fontId="3" type="noConversion"/>
  </si>
  <si>
    <t>성인에서 분리</t>
    <phoneticPr fontId="3" type="noConversion"/>
  </si>
  <si>
    <t xml:space="preserve">       - 주말(노인50%할인)</t>
    <phoneticPr fontId="2" type="noConversion"/>
  </si>
  <si>
    <t>10명 × 3게임 × 2,800원 × 12월 x 50% =</t>
    <phoneticPr fontId="3" type="noConversion"/>
  </si>
  <si>
    <t>460명 × 3게임 × 2,000원 × 12월 =</t>
    <phoneticPr fontId="3" type="noConversion"/>
  </si>
  <si>
    <t>20명 × 3게임 × 2,000원 × 12월 x 80% =</t>
    <phoneticPr fontId="3" type="noConversion"/>
  </si>
  <si>
    <t>270명 × 3게임 × 2,200원 × 12월 =</t>
    <phoneticPr fontId="3" type="noConversion"/>
  </si>
  <si>
    <t>20명 × 3게임 × 2,200원 × 12월 x 80% =</t>
    <phoneticPr fontId="3" type="noConversion"/>
  </si>
  <si>
    <t>140명 × 3게임 × 1,900원 × 12월 =</t>
    <phoneticPr fontId="3" type="noConversion"/>
  </si>
  <si>
    <t>10명 × 3게임 × 1,900원 × 12월 x 80% =</t>
    <phoneticPr fontId="3" type="noConversion"/>
  </si>
  <si>
    <t>90명 × 3게임 × 2,100원 × 12월 =</t>
    <phoneticPr fontId="3" type="noConversion"/>
  </si>
  <si>
    <t>10명 × 3게임 × 2,100원 × 12월 x 80% =</t>
    <phoneticPr fontId="3" type="noConversion"/>
  </si>
  <si>
    <t>ㆍ제한권</t>
  </si>
  <si>
    <t>ㆍ자유권</t>
  </si>
  <si>
    <t>ㆍ정규강습</t>
  </si>
  <si>
    <t>39,000원 × 5명 × 3개반 x12월 =</t>
    <phoneticPr fontId="3" type="noConversion"/>
  </si>
  <si>
    <t xml:space="preserve">       - 주3회(다자녀20%할인)</t>
    <phoneticPr fontId="3" type="noConversion"/>
  </si>
  <si>
    <t>39,000원 × 2명 × 3개반 x 12월 x 80% =</t>
    <phoneticPr fontId="3" type="noConversion"/>
  </si>
  <si>
    <t xml:space="preserve">       - 주2회  </t>
    <phoneticPr fontId="3" type="noConversion"/>
  </si>
  <si>
    <t>26,000원 × 5명 × 3개반 x 12월 =</t>
    <phoneticPr fontId="3" type="noConversion"/>
  </si>
  <si>
    <t xml:space="preserve">       - 주2회(다자녀20%할인)</t>
    <phoneticPr fontId="3" type="noConversion"/>
  </si>
  <si>
    <t>26,000원 × 2명 × 3개반 x 12월 x 80% =</t>
    <phoneticPr fontId="3" type="noConversion"/>
  </si>
  <si>
    <t xml:space="preserve">     </t>
    <phoneticPr fontId="2" type="noConversion"/>
  </si>
  <si>
    <t>ㆍ주6회</t>
    <phoneticPr fontId="2" type="noConversion"/>
  </si>
  <si>
    <t>100,000원 x 73명 x 12월 =</t>
    <phoneticPr fontId="3" type="noConversion"/>
  </si>
  <si>
    <t>다자녀 및 노인 감면</t>
    <phoneticPr fontId="3" type="noConversion"/>
  </si>
  <si>
    <t xml:space="preserve">    </t>
    <phoneticPr fontId="2" type="noConversion"/>
  </si>
  <si>
    <t>ㆍ주6회(다자녀20%할인)</t>
    <phoneticPr fontId="2" type="noConversion"/>
  </si>
  <si>
    <t>100,000원 x 3명 x 12월 x 80% =</t>
    <phoneticPr fontId="3" type="noConversion"/>
  </si>
  <si>
    <t>ㆍ주6회(노인50%할인)</t>
    <phoneticPr fontId="2" type="noConversion"/>
  </si>
  <si>
    <t>100,000원 x 3명 x 12월 x 50% =</t>
    <phoneticPr fontId="3" type="noConversion"/>
  </si>
  <si>
    <t>ㆍ주3회</t>
    <phoneticPr fontId="2" type="noConversion"/>
  </si>
  <si>
    <t>50,000원 x 20명 x 12월 =</t>
    <phoneticPr fontId="3" type="noConversion"/>
  </si>
  <si>
    <t>ㆍ주3회(다자녀20%할인)</t>
    <phoneticPr fontId="2" type="noConversion"/>
  </si>
  <si>
    <t>50,000원 x 3명 x 12월 x 80% =</t>
    <phoneticPr fontId="3" type="noConversion"/>
  </si>
  <si>
    <t>ㆍ주3회(노인50%할인)</t>
    <phoneticPr fontId="2" type="noConversion"/>
  </si>
  <si>
    <t>50,000원 x 3명 x 12월 x 50% =</t>
    <phoneticPr fontId="3" type="noConversion"/>
  </si>
  <si>
    <t xml:space="preserve">ㆍ주6회 </t>
    <phoneticPr fontId="2" type="noConversion"/>
  </si>
  <si>
    <t>70,000원 x 18명 x 12월 =</t>
    <phoneticPr fontId="3" type="noConversion"/>
  </si>
  <si>
    <t>70,000원 x 3명 x 12월 x 80% =</t>
    <phoneticPr fontId="3" type="noConversion"/>
  </si>
  <si>
    <t>70,000원 x 2명 x 12월 x 50% =</t>
    <phoneticPr fontId="3" type="noConversion"/>
  </si>
  <si>
    <t xml:space="preserve">ㆍ주3회 </t>
    <phoneticPr fontId="2" type="noConversion"/>
  </si>
  <si>
    <t>35,000원 x 12명 x 12월 =</t>
    <phoneticPr fontId="3" type="noConversion"/>
  </si>
  <si>
    <t>35,000원 x 3명 x 12월 x 80% =</t>
    <phoneticPr fontId="3" type="noConversion"/>
  </si>
  <si>
    <t>35,000원 x 3명 x 12월 x 50% =</t>
    <phoneticPr fontId="3" type="noConversion"/>
  </si>
  <si>
    <t>7,000원 × 200명 × 12월 =</t>
    <phoneticPr fontId="3" type="noConversion"/>
  </si>
  <si>
    <t>7,000원 x 60명 x 12월 x 80% =</t>
    <phoneticPr fontId="3" type="noConversion"/>
  </si>
  <si>
    <t>ㆍ노인(노인50%할인)</t>
    <phoneticPr fontId="2" type="noConversion"/>
  </si>
  <si>
    <t>7,000원 x 80명 x 12월 x 50% =</t>
    <phoneticPr fontId="3" type="noConversion"/>
  </si>
  <si>
    <t xml:space="preserve">  o 에어로빅,다이어트,토탈댄스</t>
    <phoneticPr fontId="3" type="noConversion"/>
  </si>
  <si>
    <t>ㆍ주간,새벽,저녁반</t>
    <phoneticPr fontId="2" type="noConversion"/>
  </si>
  <si>
    <t>52,000원 × 13명 × 4개반 × 12월 =</t>
    <phoneticPr fontId="3" type="noConversion"/>
  </si>
  <si>
    <t>다자녀 노인 감면</t>
    <phoneticPr fontId="3" type="noConversion"/>
  </si>
  <si>
    <t>52,000원 × 4명 × 4개반 × 12월  × 80% =</t>
    <phoneticPr fontId="3" type="noConversion"/>
  </si>
  <si>
    <t>32,000원 × 3명 × 1개반 × 12월 =</t>
    <phoneticPr fontId="3" type="noConversion"/>
  </si>
  <si>
    <t>32,000원 × 12명 × 1개반 × 12월 × 50% =</t>
    <phoneticPr fontId="3" type="noConversion"/>
  </si>
  <si>
    <t>65,000원 × 10명 × 3개반 × 12월 =</t>
    <phoneticPr fontId="3" type="noConversion"/>
  </si>
  <si>
    <t>65,000원 × 7명 × 3개반 × 12월 × 80% =</t>
    <phoneticPr fontId="3" type="noConversion"/>
  </si>
  <si>
    <t>((48,000원×68명)+(43,000원×20명)+(37,000원×60명)) × 12월 =</t>
    <phoneticPr fontId="3" type="noConversion"/>
  </si>
  <si>
    <t>다자녀, 노인 감면</t>
    <phoneticPr fontId="3" type="noConversion"/>
  </si>
  <si>
    <t>48,000원 × 7명 × 12월 × 80% =</t>
    <phoneticPr fontId="3" type="noConversion"/>
  </si>
  <si>
    <t>48,000원 × 75명 × 12월 × 50% =</t>
    <phoneticPr fontId="3" type="noConversion"/>
  </si>
  <si>
    <t>ㆍ새벽,야간반</t>
    <phoneticPr fontId="2" type="noConversion"/>
  </si>
  <si>
    <t>((53,000원×141명)+(48,000원×30명)+(40,000원×10명)) × 12월 =</t>
    <phoneticPr fontId="3" type="noConversion"/>
  </si>
  <si>
    <t>53,000원 × 9명 × 12월 × 80% =</t>
    <phoneticPr fontId="3" type="noConversion"/>
  </si>
  <si>
    <t>((58,000원×77명)+(52,000원×20명)+(43,000원×20명)) × 12월 =</t>
    <phoneticPr fontId="3" type="noConversion"/>
  </si>
  <si>
    <t>58,000원 × 9명 × 12월 × 80% =</t>
    <phoneticPr fontId="3" type="noConversion"/>
  </si>
  <si>
    <t>58,000원 × 14명 × 12월 × 50% =</t>
    <phoneticPr fontId="3" type="noConversion"/>
  </si>
  <si>
    <t>4,500원 × 18명 × 24일 × 12월 =</t>
    <phoneticPr fontId="3" type="noConversion"/>
  </si>
  <si>
    <t>4,500원 × 2명 × 24일 × 12월 × 80% =</t>
    <phoneticPr fontId="3" type="noConversion"/>
  </si>
  <si>
    <t>ㆍ어린이(월,수,금)</t>
    <phoneticPr fontId="2" type="noConversion"/>
  </si>
  <si>
    <t>((70,000원 × 10명 × 2개반) + (90,000원 × 8명)) × 12월 =</t>
    <phoneticPr fontId="3" type="noConversion"/>
  </si>
  <si>
    <t>((70,000원 × 5명 × 2개반) + (90,000원 × 2명)) × 12월 × 80% =</t>
    <phoneticPr fontId="3" type="noConversion"/>
  </si>
  <si>
    <t xml:space="preserve">ㆍ어린이(월,수)(화,목) </t>
    <phoneticPr fontId="2" type="noConversion"/>
  </si>
  <si>
    <t>(40,000원 × 8명 × 3개반) × 12월 =</t>
    <phoneticPr fontId="3" type="noConversion"/>
  </si>
  <si>
    <t>(40,000원 × 7명 × 3개반) × 12월 × 80% =</t>
    <phoneticPr fontId="3" type="noConversion"/>
  </si>
  <si>
    <t>((43,000원 × 18명 × 2개반) + (65,000원 × 23명)) × 12월 =</t>
    <phoneticPr fontId="3" type="noConversion"/>
  </si>
  <si>
    <t>((43,000원 × 18명 × 2개반) + (65,000원 × 7명)) × 12월 × 80% =</t>
    <phoneticPr fontId="3" type="noConversion"/>
  </si>
  <si>
    <t>((32,000원 × 10명 × 2개반) + (22,000원 × 15명)) × 12월 =</t>
    <phoneticPr fontId="3" type="noConversion"/>
  </si>
  <si>
    <t xml:space="preserve">ㆍ성인(토)(다자녀20%할인)  </t>
    <phoneticPr fontId="3" type="noConversion"/>
  </si>
  <si>
    <t>((32,000원 × 5명 × 2개반) + (22,000원 × 15명)) × 12월 × 80% =</t>
    <phoneticPr fontId="3" type="noConversion"/>
  </si>
  <si>
    <t>44,000원 × 8명 × 2개반 × 12월 =</t>
    <phoneticPr fontId="3" type="noConversion"/>
  </si>
  <si>
    <t>44,000원 × 7명 × 2개반 × 12월 × 80% =</t>
    <phoneticPr fontId="3" type="noConversion"/>
  </si>
  <si>
    <t>((50,000원 × 8명) + (44,000원 × 5명)) × 12월 =</t>
    <phoneticPr fontId="3" type="noConversion"/>
  </si>
  <si>
    <t>((50,000원 × 1명) + (44,000원 × 5명)) × 12월 × 80% =</t>
    <phoneticPr fontId="3" type="noConversion"/>
  </si>
  <si>
    <t>((50,000원 × 1명) + (44,000원 × 5명)) × 12월 × 50% =</t>
    <phoneticPr fontId="3" type="noConversion"/>
  </si>
  <si>
    <t>ㆍ청소년,성인(화,목)</t>
    <phoneticPr fontId="2" type="noConversion"/>
  </si>
  <si>
    <t>34,000원 × 8명 × 2개반 × 12월 =</t>
    <phoneticPr fontId="3" type="noConversion"/>
  </si>
  <si>
    <t>34,000원 × 6명 × 2개반 × 12월 × 80% =</t>
    <phoneticPr fontId="3" type="noConversion"/>
  </si>
  <si>
    <t>34,000원 × 3명 × 2개반 × 12월 × 50% =</t>
    <phoneticPr fontId="3" type="noConversion"/>
  </si>
  <si>
    <t>50,000원 × 10명 × 3개반 × 12월 =</t>
    <phoneticPr fontId="3" type="noConversion"/>
  </si>
  <si>
    <t>50,000원 × 5명 × 3개반 × 12월 × 80% =</t>
    <phoneticPr fontId="3" type="noConversion"/>
  </si>
  <si>
    <t>50,000원 × 5명 × 3개반 × 12월 × 50% =</t>
    <phoneticPr fontId="3" type="noConversion"/>
  </si>
  <si>
    <t>50,000원 × 14명 × 12월 =</t>
    <phoneticPr fontId="3" type="noConversion"/>
  </si>
  <si>
    <t>50,000원 × 2명 × 12월 × 80% =</t>
    <phoneticPr fontId="3" type="noConversion"/>
  </si>
  <si>
    <t>50,000원 × 2명 × 12월 × 50% =</t>
    <phoneticPr fontId="3" type="noConversion"/>
  </si>
  <si>
    <t>27,000원 × 13명 × 2개반 × 12월 =</t>
    <phoneticPr fontId="3" type="noConversion"/>
  </si>
  <si>
    <t>27,000원 × 3명 × 2개반 × 12월 × 80% =</t>
    <phoneticPr fontId="3" type="noConversion"/>
  </si>
  <si>
    <t>27,000원 × 2명 × 2개반 × 12월 × 50% =</t>
    <phoneticPr fontId="3" type="noConversion"/>
  </si>
  <si>
    <t>50,000원 × 10명 × 2개반 × 12월 =</t>
    <phoneticPr fontId="3" type="noConversion"/>
  </si>
  <si>
    <t>50,000원 × 6명 × 2개반 × 12월 × 80% =</t>
    <phoneticPr fontId="3" type="noConversion"/>
  </si>
  <si>
    <t>50,000원 × 1명 × 2개반 × 12월 × 50% =</t>
    <phoneticPr fontId="3" type="noConversion"/>
  </si>
  <si>
    <t>50,000원 × 13명 × 12월 =</t>
    <phoneticPr fontId="3" type="noConversion"/>
  </si>
  <si>
    <t>ㆍ바른체형요가(다자녀20%할인)</t>
    <phoneticPr fontId="2" type="noConversion"/>
  </si>
  <si>
    <t>50,000원 × 1명 × 12월 × 80% =</t>
    <phoneticPr fontId="3" type="noConversion"/>
  </si>
  <si>
    <t>ㆍ바른체형요가(노인50%할인)</t>
    <phoneticPr fontId="2" type="noConversion"/>
  </si>
  <si>
    <t>50,000원 × 3명 × 12월 × 50% =</t>
    <phoneticPr fontId="3" type="noConversion"/>
  </si>
  <si>
    <t>((70,000원 × 10명) + (66,000원 × 1명)) × 5개반 × 12월 =</t>
    <phoneticPr fontId="3" type="noConversion"/>
  </si>
  <si>
    <t>((70,000원 × 4명) + (66,000원 × 1명)) × 5개반 × 12월 × 80% =</t>
    <phoneticPr fontId="3" type="noConversion"/>
  </si>
  <si>
    <t>((70,000원 × 1명) + (66,000원 × 1명)) × 5개반 × 12월 × 50% =</t>
    <phoneticPr fontId="3" type="noConversion"/>
  </si>
  <si>
    <t>((47,000원 × 11명) + (44,000원 × 1명)) × 5개반 × 12월 =</t>
    <phoneticPr fontId="3" type="noConversion"/>
  </si>
  <si>
    <t>((47,000원 × 3명) + (44,000원 × 1명)) × 5개반 × 12월 × 80% =</t>
    <phoneticPr fontId="3" type="noConversion"/>
  </si>
  <si>
    <t>((47,000원 × 1명) + (44,000원 × 1명)) × 5개반 × 12월 × 50% =</t>
    <phoneticPr fontId="3" type="noConversion"/>
  </si>
  <si>
    <t>((35,000원 × 7명) + (27,000원 × 5명)) × 12월 =</t>
    <phoneticPr fontId="3" type="noConversion"/>
  </si>
  <si>
    <t>((35,000원 × 3명) + (27,000원 × 7명)) × 12월 × 80% =</t>
    <phoneticPr fontId="3" type="noConversion"/>
  </si>
  <si>
    <t>((35,000원 × 0명) + (27,000원 × 2명)) × 12월 × 50% =</t>
    <phoneticPr fontId="3" type="noConversion"/>
  </si>
  <si>
    <t xml:space="preserve">ㆍ실버리듬 필라테스 </t>
    <phoneticPr fontId="2" type="noConversion"/>
  </si>
  <si>
    <t>ㆍ실버리듬 필라테스(노인50%할인)</t>
    <phoneticPr fontId="2" type="noConversion"/>
  </si>
  <si>
    <t>53,000원 × 15명 × 12월 × 50% =</t>
    <phoneticPr fontId="3" type="noConversion"/>
  </si>
  <si>
    <t>42,000원 × 10명 × 3개반 × 12월 =</t>
    <phoneticPr fontId="3" type="noConversion"/>
  </si>
  <si>
    <t>42,000원 × 5명 × 3개반 × 12월 × 80% =</t>
    <phoneticPr fontId="3" type="noConversion"/>
  </si>
  <si>
    <t>37,000원 × 10명 × 3개반 × 12월 =</t>
    <phoneticPr fontId="3" type="noConversion"/>
  </si>
  <si>
    <t>37,000원 × 5명 × 3개반 × 12월 × 80% =</t>
    <phoneticPr fontId="3" type="noConversion"/>
  </si>
  <si>
    <t>((90,000원 × 8명) + (65,000원 × 5명)) × 12월 =</t>
    <phoneticPr fontId="3" type="noConversion"/>
  </si>
  <si>
    <t>((90,000원 × 2명) + (65,000원 × 5명)) × 12월 × 80% =</t>
    <phoneticPr fontId="3" type="noConversion"/>
  </si>
  <si>
    <t>25,000원 × 10명 × 12월 =</t>
    <phoneticPr fontId="3" type="noConversion"/>
  </si>
  <si>
    <t>25,000원 × 2명 × 12월 × 80% =</t>
    <phoneticPr fontId="3" type="noConversion"/>
  </si>
  <si>
    <t>28,000원 × 8명 × 5개반 × 12월 =</t>
    <phoneticPr fontId="3" type="noConversion"/>
  </si>
  <si>
    <t>28,000원 × 10명 × 5개반 × 12월 × 80% =</t>
    <phoneticPr fontId="3" type="noConversion"/>
  </si>
  <si>
    <t>((70,000원 × 10명) + (47,000원 × 10명)) × 12월 =</t>
    <phoneticPr fontId="3" type="noConversion"/>
  </si>
  <si>
    <t>((70,000원 × 5명) + (47,000원 × 5명)) × 12월 × 80% =</t>
    <phoneticPr fontId="3" type="noConversion"/>
  </si>
  <si>
    <t>50,000원 × 11명 × 12월 =</t>
    <phoneticPr fontId="3" type="noConversion"/>
  </si>
  <si>
    <t>50,000원 × 4명 × 12월 × 80% =</t>
    <phoneticPr fontId="3" type="noConversion"/>
  </si>
  <si>
    <t>40,000원 × 3명 × 4개반 × 12월 =</t>
    <phoneticPr fontId="3" type="noConversion"/>
  </si>
  <si>
    <t>40,000원 × 12명 × 4개반 × 12월 × 50%  =</t>
    <phoneticPr fontId="3" type="noConversion"/>
  </si>
  <si>
    <t>ㆍ(화,목)(월,수)</t>
    <phoneticPr fontId="2" type="noConversion"/>
  </si>
  <si>
    <t>37,000원 × 3명 × 4개반 × 12월 =</t>
    <phoneticPr fontId="3" type="noConversion"/>
  </si>
  <si>
    <t>37,000원 × 14명 × 4개반 × 12월 × 50%  =</t>
    <phoneticPr fontId="3" type="noConversion"/>
  </si>
  <si>
    <t>수요 부족으로 프로그램 종료</t>
    <phoneticPr fontId="2" type="noConversion"/>
  </si>
  <si>
    <t>55,000원 × 12명 × 4개반 × 12월 =</t>
    <phoneticPr fontId="3" type="noConversion"/>
  </si>
  <si>
    <t xml:space="preserve"> 55,000원 × 4명 × 4개반 × 12월 × 80% =</t>
    <phoneticPr fontId="3" type="noConversion"/>
  </si>
  <si>
    <t>55,000원 × 1명 × 4개반 × 12월 × 50% =</t>
    <phoneticPr fontId="3" type="noConversion"/>
  </si>
  <si>
    <t>42,000원 × 12명 × 3개반 × 12월 =</t>
    <phoneticPr fontId="3" type="noConversion"/>
  </si>
  <si>
    <t>42,000원 × 3명 × 3개반 × 12월 × 80% =</t>
    <phoneticPr fontId="3" type="noConversion"/>
  </si>
  <si>
    <t>42,000원 × 2명 × 3개반 × 12월 × 50% =</t>
    <phoneticPr fontId="3" type="noConversion"/>
  </si>
  <si>
    <t>((48,000원 × 8명) + (40,000원 × 5명)) × 12월 =</t>
    <phoneticPr fontId="3" type="noConversion"/>
  </si>
  <si>
    <t>((48,000원 × 2명) + (40,000원 × 5명)) × 12월 × 80%  =</t>
    <phoneticPr fontId="3" type="noConversion"/>
  </si>
  <si>
    <t>34,000원 × 11명 × 12월 =</t>
    <phoneticPr fontId="3" type="noConversion"/>
  </si>
  <si>
    <t>34,000원 × 1명 × 12월 × 80% =</t>
    <phoneticPr fontId="3" type="noConversion"/>
  </si>
  <si>
    <t xml:space="preserve"> </t>
    <phoneticPr fontId="2" type="noConversion"/>
  </si>
  <si>
    <t>수요부족으로 프로그램 종료</t>
    <phoneticPr fontId="2" type="noConversion"/>
  </si>
  <si>
    <t>((140,000원 × 5명× 3개반) + (90,000원 × 6명× 2개반)) × 12월 =</t>
    <phoneticPr fontId="3" type="noConversion"/>
  </si>
  <si>
    <t>((140,000원 × 5명× 3개반) + (90,000원 × 4명× 2개반)) × 12월 × 80% =</t>
    <phoneticPr fontId="3" type="noConversion"/>
  </si>
  <si>
    <t xml:space="preserve">  o 키즈플라잉요가(신설)</t>
    <phoneticPr fontId="3" type="noConversion"/>
  </si>
  <si>
    <t>150,000원 × 5명 × 12월 =</t>
    <phoneticPr fontId="3" type="noConversion"/>
  </si>
  <si>
    <t>24년 프로그램 신설</t>
    <phoneticPr fontId="2" type="noConversion"/>
  </si>
  <si>
    <t>150,000원 × 5명 × 12월 × 80%  =</t>
    <phoneticPr fontId="3" type="noConversion"/>
  </si>
  <si>
    <t>68,000원 × 9명 × 12월 =</t>
    <phoneticPr fontId="3" type="noConversion"/>
  </si>
  <si>
    <t>68,000원 × 1명 × 12월 × 80% =</t>
    <phoneticPr fontId="3" type="noConversion"/>
  </si>
  <si>
    <t>50,000원 × 10명 × 12월 =</t>
    <phoneticPr fontId="3" type="noConversion"/>
  </si>
  <si>
    <t xml:space="preserve">  o 산후요가(신설)</t>
    <phoneticPr fontId="3" type="noConversion"/>
  </si>
  <si>
    <t>25,000원 × 9명 × 12월 =</t>
    <phoneticPr fontId="3" type="noConversion"/>
  </si>
  <si>
    <t>25,000원 × 1명 × 12월 × 80% =</t>
    <phoneticPr fontId="3" type="noConversion"/>
  </si>
  <si>
    <t>((52,000원 × 5명) + (56,000원 × 7명)) × 12월 =</t>
    <phoneticPr fontId="3" type="noConversion"/>
  </si>
  <si>
    <t>56,000원 × 5명 × 12월 × 80% =</t>
    <phoneticPr fontId="3" type="noConversion"/>
  </si>
  <si>
    <t>56,000원 × 3명 × 12월 × 50% =</t>
    <phoneticPr fontId="3" type="noConversion"/>
  </si>
  <si>
    <t>((70,000원 × 21명) + (58,000원 × 5명)) × 12월 =</t>
    <phoneticPr fontId="3" type="noConversion"/>
  </si>
  <si>
    <t xml:space="preserve"> </t>
    <phoneticPr fontId="3" type="noConversion"/>
  </si>
  <si>
    <t>70,000원 × 10명 × 12월 × 80% =</t>
    <phoneticPr fontId="3" type="noConversion"/>
  </si>
  <si>
    <t>70,000원 × 4명 × 12월 × 50% =</t>
    <phoneticPr fontId="3" type="noConversion"/>
  </si>
  <si>
    <t>((70,000원 × 33명) + (58,000원 × 5명)) × 12월 =</t>
    <phoneticPr fontId="3" type="noConversion"/>
  </si>
  <si>
    <t>70,000원 × 20명 × 12월 × 80% =</t>
    <phoneticPr fontId="3" type="noConversion"/>
  </si>
  <si>
    <t>70,000원 × 2명 × 12월 × 50% =</t>
    <phoneticPr fontId="3" type="noConversion"/>
  </si>
  <si>
    <t>ㆍ월,수,금 18시</t>
    <phoneticPr fontId="2" type="noConversion"/>
  </si>
  <si>
    <t>((63,000원 × 7명) + (54,000원 × 4명) + (45,000원 × 2명)) × 12월 =</t>
    <phoneticPr fontId="3" type="noConversion"/>
  </si>
  <si>
    <t>((63,000원×8명) + (54,000원×1명) + (45,000원×3명)) × 12월 × 80% =</t>
    <phoneticPr fontId="3" type="noConversion"/>
  </si>
  <si>
    <t>40,000원 × 11명 × 12월 =</t>
    <phoneticPr fontId="3" type="noConversion"/>
  </si>
  <si>
    <t>40,000원 × 19명 × 12월 × 80% =</t>
    <phoneticPr fontId="3" type="noConversion"/>
  </si>
  <si>
    <t>((21,000원 × 4명) + (24,000원 × 3명) + (32,000원 × 17명)) × 12월 =</t>
    <phoneticPr fontId="3" type="noConversion"/>
  </si>
  <si>
    <t>((21,000원 × 1명) + (24,000원×2명) + (32,000원×8명)) × 12월 × 80% =</t>
    <phoneticPr fontId="3" type="noConversion"/>
  </si>
  <si>
    <t>((28,000원 × 3명) + (32,000원 × 3명) + (43,000원 × 8명)) × 12월 =</t>
    <phoneticPr fontId="3" type="noConversion"/>
  </si>
  <si>
    <t>((28,000원×2명) + (32,000원×2명) + (43,000원×7명)) × 12월 × 80% =</t>
    <phoneticPr fontId="3" type="noConversion"/>
  </si>
  <si>
    <t>23,000원 × 10명 × 2개반 × 12월 =</t>
    <phoneticPr fontId="3" type="noConversion"/>
  </si>
  <si>
    <t>23,000원 × 30명 × 12월 × 80% =</t>
    <phoneticPr fontId="3" type="noConversion"/>
  </si>
  <si>
    <t>((30,000원 × 10명) + (34,000원 × 2명)) × 2개반 × 12월 =</t>
    <phoneticPr fontId="3" type="noConversion"/>
  </si>
  <si>
    <t>((30,000원 × 8명) + (34,000원 × 8명)) × 2개반 × 12월 × 80% =</t>
    <phoneticPr fontId="3" type="noConversion"/>
  </si>
  <si>
    <t xml:space="preserve">  o 김신욱축구요실</t>
    <phoneticPr fontId="3" type="noConversion"/>
  </si>
  <si>
    <t>공동사업자 계약 해지요청으로 사업 종료</t>
    <phoneticPr fontId="2" type="noConversion"/>
  </si>
  <si>
    <t xml:space="preserve">  o 어린이축구교실</t>
    <phoneticPr fontId="3" type="noConversion"/>
  </si>
  <si>
    <t>((80,000원 × 4명) + (120,000원 × 6명)) × 12월 =</t>
    <phoneticPr fontId="3" type="noConversion"/>
  </si>
  <si>
    <t>((80,000원 × 8명) + (120,000원 × 6명)) × 12월 × 80% =</t>
    <phoneticPr fontId="3" type="noConversion"/>
  </si>
  <si>
    <t>((37,000원 × 11명) + (59,000원 × 2명)) × 12월 =</t>
    <phoneticPr fontId="3" type="noConversion"/>
  </si>
  <si>
    <t>((37,000원 × 9명) + (59,000원 × 8명)) × 12월 × 80% =</t>
    <phoneticPr fontId="3" type="noConversion"/>
  </si>
  <si>
    <t>2,600원 × 227명 × 12월 =</t>
    <phoneticPr fontId="3" type="noConversion"/>
  </si>
  <si>
    <t xml:space="preserve">ㆍ유료자유이용(다자녀20%할인) </t>
    <phoneticPr fontId="3" type="noConversion"/>
  </si>
  <si>
    <t>2,600원 × 113명 × 12월 × 80% =</t>
    <phoneticPr fontId="3" type="noConversion"/>
  </si>
  <si>
    <t>90,000원 × 2명 × 12월 =</t>
    <phoneticPr fontId="3" type="noConversion"/>
  </si>
  <si>
    <t>90,000원 × 1명 × 12월 × 80%  =</t>
    <phoneticPr fontId="3" type="noConversion"/>
  </si>
  <si>
    <t>35,000원 × 8명 × 12월 =</t>
    <phoneticPr fontId="3" type="noConversion"/>
  </si>
  <si>
    <t>35,000원 × 7명 × 12월 × 80% =</t>
    <phoneticPr fontId="3" type="noConversion"/>
  </si>
  <si>
    <t xml:space="preserve">       - 개인(주중)</t>
    <phoneticPr fontId="2" type="noConversion"/>
  </si>
  <si>
    <t>3,700원 × 477명 × 12월 =</t>
    <phoneticPr fontId="3" type="noConversion"/>
  </si>
  <si>
    <t xml:space="preserve">       - 개인(주중)(다자녀20%할인)</t>
    <phoneticPr fontId="2" type="noConversion"/>
  </si>
  <si>
    <t>3,700원 × 23명 × 12월 × 80% =</t>
    <phoneticPr fontId="3" type="noConversion"/>
  </si>
  <si>
    <t xml:space="preserve">       - 개인(주말)</t>
    <phoneticPr fontId="2" type="noConversion"/>
  </si>
  <si>
    <t>4,000원 × 573명 × 12월 =</t>
    <phoneticPr fontId="3" type="noConversion"/>
  </si>
  <si>
    <t xml:space="preserve">       - 개인(주말)(다자녀20%할인)</t>
    <phoneticPr fontId="2" type="noConversion"/>
  </si>
  <si>
    <t>4,000원 × 27명 × 12월 x 80% =</t>
    <phoneticPr fontId="3" type="noConversion"/>
  </si>
  <si>
    <t>3,000원 × 334명 × 12월 =</t>
    <phoneticPr fontId="3" type="noConversion"/>
  </si>
  <si>
    <t>다자녀 감면 및 이용인원감소</t>
    <phoneticPr fontId="3" type="noConversion"/>
  </si>
  <si>
    <t>3,000원 × 16명 × 12월 x 80% =</t>
    <phoneticPr fontId="3" type="noConversion"/>
  </si>
  <si>
    <t>3,200원 × 430명 × 12월 =</t>
    <phoneticPr fontId="3" type="noConversion"/>
  </si>
  <si>
    <t>3,200원 × 20명 × 12월 x 80% =</t>
    <phoneticPr fontId="3" type="noConversion"/>
  </si>
  <si>
    <t>2,500원 × 860명 × 12월 =</t>
    <phoneticPr fontId="3" type="noConversion"/>
  </si>
  <si>
    <t>2,500원 × 40명 × 12월 x 80% =</t>
    <phoneticPr fontId="3" type="noConversion"/>
  </si>
  <si>
    <t>2,700원 × 860명 × 12월 =</t>
    <phoneticPr fontId="3" type="noConversion"/>
  </si>
  <si>
    <t xml:space="preserve">       - 개인(주말)(다자녀20%할인)</t>
    <phoneticPr fontId="3" type="noConversion"/>
  </si>
  <si>
    <t>2,700원 × 40명 × 12월 x 80% =</t>
    <phoneticPr fontId="2" type="noConversion"/>
  </si>
  <si>
    <t xml:space="preserve">       - 단체(주중)</t>
    <phoneticPr fontId="2" type="noConversion"/>
  </si>
  <si>
    <t xml:space="preserve">       - 단체(주말)</t>
    <phoneticPr fontId="2" type="noConversion"/>
  </si>
  <si>
    <t>ㆍ성인,직장인반</t>
    <phoneticPr fontId="2" type="noConversion"/>
  </si>
  <si>
    <t>66,000원 × 6명 ×3개반 × 12월 =</t>
    <phoneticPr fontId="3" type="noConversion"/>
  </si>
  <si>
    <t>66,000원 × 2명 × 3개반 × 12월 x 80% =</t>
    <phoneticPr fontId="3" type="noConversion"/>
  </si>
  <si>
    <t>49,000원 × 8명 × 18개반 × 12월 =</t>
    <phoneticPr fontId="3" type="noConversion"/>
  </si>
  <si>
    <t>49,000원 × 2명 × 18개반 × 12월 x 80% =</t>
    <phoneticPr fontId="3" type="noConversion"/>
  </si>
  <si>
    <t>44,000원 × 7명 × 5개반 × 12월 =</t>
    <phoneticPr fontId="3" type="noConversion"/>
  </si>
  <si>
    <t xml:space="preserve"> 44,000원 × 1명 × 5개반 × 12월 x 80% =</t>
    <phoneticPr fontId="2" type="noConversion"/>
  </si>
  <si>
    <t xml:space="preserve">54,000원 × 8명 × 14개반 × 12월 = </t>
    <phoneticPr fontId="3" type="noConversion"/>
  </si>
  <si>
    <t>54,000원 × 2명 × 14개반 × 12월 x 80% =</t>
    <phoneticPr fontId="3" type="noConversion"/>
  </si>
  <si>
    <t>49,000원 × 7명 × 2개반 × 12월 =</t>
    <phoneticPr fontId="3" type="noConversion"/>
  </si>
  <si>
    <t>49,000원 × 1명 × 2개반 × 12월 x  80% =</t>
    <phoneticPr fontId="3" type="noConversion"/>
  </si>
  <si>
    <t xml:space="preserve">       - 하계</t>
    <phoneticPr fontId="2" type="noConversion"/>
  </si>
  <si>
    <t xml:space="preserve">       - 동계</t>
    <phoneticPr fontId="2" type="noConversion"/>
  </si>
  <si>
    <t>ㆍ체력증진반(어린이)</t>
    <phoneticPr fontId="3" type="noConversion"/>
  </si>
  <si>
    <t>76,000원 × 7명 × 1개반 × 10월 =</t>
    <phoneticPr fontId="3" type="noConversion"/>
  </si>
  <si>
    <t>프로그램 신설</t>
    <phoneticPr fontId="3" type="noConversion"/>
  </si>
  <si>
    <t>ㆍ체력증진반(어린이)(다자녀20%할인)</t>
    <phoneticPr fontId="3" type="noConversion"/>
  </si>
  <si>
    <t>76,000원 × 1명 × 1개반 × 10월 x 80% =</t>
    <phoneticPr fontId="3" type="noConversion"/>
  </si>
  <si>
    <t>57,000원 × 15명 × 12월 =</t>
    <phoneticPr fontId="3" type="noConversion"/>
  </si>
  <si>
    <t>57,000원 × 1명 × 12월 x 80% =</t>
    <phoneticPr fontId="3" type="noConversion"/>
  </si>
  <si>
    <t>46,000원 × 38명 × 12월 =</t>
    <phoneticPr fontId="3" type="noConversion"/>
  </si>
  <si>
    <t>46,000원 × 2명 × 12월 x 80% =</t>
    <phoneticPr fontId="3" type="noConversion"/>
  </si>
  <si>
    <t>36,000원 × 18명 × 12월 =</t>
    <phoneticPr fontId="3" type="noConversion"/>
  </si>
  <si>
    <t>36,000원 × 2명 × 12월 x 80% =</t>
    <phoneticPr fontId="3" type="noConversion"/>
  </si>
  <si>
    <t>30,000원 × 47명 × 12월 =</t>
    <phoneticPr fontId="3" type="noConversion"/>
  </si>
  <si>
    <t>30,000원 × 3명 × 12월 x 80% =</t>
    <phoneticPr fontId="3" type="noConversion"/>
  </si>
  <si>
    <t>24,000원 × 14명 × 12월 =</t>
    <phoneticPr fontId="3" type="noConversion"/>
  </si>
  <si>
    <t>24,000원 × 1명 × 12월 x 80% =</t>
    <phoneticPr fontId="3" type="noConversion"/>
  </si>
  <si>
    <t>20,000원 × 95명 × 12월 =</t>
    <phoneticPr fontId="3" type="noConversion"/>
  </si>
  <si>
    <t>20,000원 × 5명 × 12월 x 80% =</t>
    <phoneticPr fontId="2" type="noConversion"/>
  </si>
  <si>
    <t>12,000원 × 18명 × 12월 =</t>
    <phoneticPr fontId="3" type="noConversion"/>
  </si>
  <si>
    <t>12,000원 × 2명 × 12월 x 80% =</t>
    <phoneticPr fontId="3" type="noConversion"/>
  </si>
  <si>
    <t>10,000원 × 65명 × 12월 =</t>
    <phoneticPr fontId="3" type="noConversion"/>
  </si>
  <si>
    <t>다자녀감면</t>
    <phoneticPr fontId="3" type="noConversion"/>
  </si>
  <si>
    <t>10,000원 × 5명 × 12월 x 80% =</t>
    <phoneticPr fontId="3" type="noConversion"/>
  </si>
  <si>
    <t xml:space="preserve">       - 주3회(월,수,금),(화,목,토)(노인50%할인)</t>
    <phoneticPr fontId="2" type="noConversion"/>
  </si>
  <si>
    <t>ㆍ월(다자녀20%할인)</t>
    <phoneticPr fontId="2" type="noConversion"/>
  </si>
  <si>
    <t>ㆍ월,수,금(노인50%할인)</t>
    <phoneticPr fontId="2" type="noConversion"/>
  </si>
  <si>
    <t>ㆍ(화,목),(월,수)(노인50%할인)</t>
    <phoneticPr fontId="2" type="noConversion"/>
  </si>
  <si>
    <t xml:space="preserve">ㆍ월,수,금(다자녀20%할인) </t>
    <phoneticPr fontId="2" type="noConversion"/>
  </si>
  <si>
    <t xml:space="preserve">ㆍ화,목(다자녀20%할인) </t>
    <phoneticPr fontId="2" type="noConversion"/>
  </si>
  <si>
    <t xml:space="preserve">ㆍ화,목(노인50%할인) </t>
    <phoneticPr fontId="3" type="noConversion"/>
  </si>
  <si>
    <t xml:space="preserve">ㆍ성인(다자녀20%할인) </t>
    <phoneticPr fontId="2" type="noConversion"/>
  </si>
  <si>
    <t>ㆍ성인</t>
    <phoneticPr fontId="3" type="noConversion"/>
  </si>
  <si>
    <t xml:space="preserve">ㆍ성인(다자녀20%할인) </t>
    <phoneticPr fontId="3" type="noConversion"/>
  </si>
  <si>
    <t xml:space="preserve">ㆍ어린이(다자녀20%할인) </t>
    <phoneticPr fontId="2" type="noConversion"/>
  </si>
  <si>
    <t>ㆍ성인(다자녀20%할인)</t>
    <phoneticPr fontId="3" type="noConversion"/>
  </si>
  <si>
    <t xml:space="preserve">ㆍ청소년, 성인(다자녀20%할인) </t>
    <phoneticPr fontId="2" type="noConversion"/>
  </si>
  <si>
    <t xml:space="preserve">ㆍ성인(노인50%할인) </t>
    <phoneticPr fontId="2" type="noConversion"/>
  </si>
  <si>
    <t>ㆍ주간반(다자녀20%할인)</t>
    <phoneticPr fontId="2" type="noConversion"/>
  </si>
  <si>
    <t xml:space="preserve">ㆍ주간반(노인50%할인) </t>
    <phoneticPr fontId="2" type="noConversion"/>
  </si>
  <si>
    <t>ㆍ야간반</t>
    <phoneticPr fontId="2" type="noConversion"/>
  </si>
  <si>
    <t xml:space="preserve">ㆍ야간반(다자녀20%할인) </t>
    <phoneticPr fontId="2" type="noConversion"/>
  </si>
  <si>
    <t xml:space="preserve">ㆍ야간반(노인50%할인) </t>
    <phoneticPr fontId="2" type="noConversion"/>
  </si>
  <si>
    <t>ㆍ월,수,금 18시(다자녀20%할인)</t>
    <phoneticPr fontId="2" type="noConversion"/>
  </si>
  <si>
    <t>ㆍ어린이</t>
    <phoneticPr fontId="3" type="noConversion"/>
  </si>
  <si>
    <t xml:space="preserve">ㆍ어린이(다자녀20%할인)  </t>
    <phoneticPr fontId="3" type="noConversion"/>
  </si>
  <si>
    <t>ㆍ1.5T(다자녀20%할인)</t>
    <phoneticPr fontId="2" type="noConversion"/>
  </si>
  <si>
    <t xml:space="preserve">ㆍ2T(다자녀20%할인) </t>
    <phoneticPr fontId="2" type="noConversion"/>
  </si>
  <si>
    <t xml:space="preserve">ㆍ어린이(다자녀20%할인) </t>
    <phoneticPr fontId="3" type="noConversion"/>
  </si>
  <si>
    <t>240,000,000원 × 1식 =</t>
    <phoneticPr fontId="2" type="noConversion"/>
  </si>
  <si>
    <t xml:space="preserve">       - 주5회(월~금)(다자녀20%할인)</t>
    <phoneticPr fontId="2" type="noConversion"/>
  </si>
  <si>
    <t>51,000원 × 15명 × 5개반 × 12월 =</t>
    <phoneticPr fontId="3" type="noConversion"/>
  </si>
  <si>
    <t>51,000원 × 25명 × 5개반 × 12월 × 50% =</t>
    <phoneticPr fontId="3" type="noConversion"/>
  </si>
  <si>
    <t>34,000원 × 15명 × 3개반 × 12월 =</t>
    <phoneticPr fontId="3" type="noConversion"/>
  </si>
  <si>
    <t>34,000원 × 25명 × 3개반 × 12월 × 50% =</t>
    <phoneticPr fontId="3" type="noConversion"/>
  </si>
  <si>
    <t>ㆍ주간,새벽,저녁반(다자녀20%할인)</t>
    <phoneticPr fontId="2" type="noConversion"/>
  </si>
  <si>
    <t xml:space="preserve">ㆍ주간반(다자녀20%할인) </t>
    <phoneticPr fontId="2" type="noConversion"/>
  </si>
  <si>
    <t>ㆍ주간반(노인50%할인)</t>
    <phoneticPr fontId="2" type="noConversion"/>
  </si>
  <si>
    <t>ㆍ새벽,야간반(다자녀20%할인)</t>
    <phoneticPr fontId="2" type="noConversion"/>
  </si>
  <si>
    <t xml:space="preserve">ㆍ종일반(다자녀20%할인) </t>
    <phoneticPr fontId="2" type="noConversion"/>
  </si>
  <si>
    <t xml:space="preserve">ㆍ종일반(노인50%할인) </t>
    <phoneticPr fontId="2" type="noConversion"/>
  </si>
  <si>
    <t>ㆍ일일입장(다자녀20%할인)</t>
    <phoneticPr fontId="2" type="noConversion"/>
  </si>
  <si>
    <t xml:space="preserve">ㆍ어린이(월,수,금)(다자녀20%할인) </t>
    <phoneticPr fontId="3" type="noConversion"/>
  </si>
  <si>
    <t>ㆍ어린이(월,수)(화,목)(다자녀20%할인)</t>
    <phoneticPr fontId="3" type="noConversion"/>
  </si>
  <si>
    <t xml:space="preserve">ㆍ성인(화,목)(다자녀20%할인)  </t>
    <phoneticPr fontId="3" type="noConversion"/>
  </si>
  <si>
    <t>ㆍ유아(다자녀20%할인)</t>
    <phoneticPr fontId="2" type="noConversion"/>
  </si>
  <si>
    <t>ㆍ청소년,성인(월,수,금)(다자녀20%할인)</t>
    <phoneticPr fontId="2" type="noConversion"/>
  </si>
  <si>
    <t>ㆍ청소년,성인(월,수,금)(노인50%할인)</t>
    <phoneticPr fontId="2" type="noConversion"/>
  </si>
  <si>
    <t>ㆍ청소년,성인(화,목)(다자녀20%할인)</t>
    <phoneticPr fontId="2" type="noConversion"/>
  </si>
  <si>
    <t>ㆍ청소년,성인(화,목)(노인50%할인)</t>
    <phoneticPr fontId="2" type="noConversion"/>
  </si>
  <si>
    <t>ㆍ 성인</t>
    <phoneticPr fontId="2" type="noConversion"/>
  </si>
  <si>
    <t>ㆍ 성인(다자녀20%할인)</t>
    <phoneticPr fontId="2" type="noConversion"/>
  </si>
  <si>
    <t xml:space="preserve">ㆍ 노인(노인50%할인)   </t>
    <phoneticPr fontId="3" type="noConversion"/>
  </si>
  <si>
    <t>ㆍ바른체형요가</t>
    <phoneticPr fontId="2" type="noConversion"/>
  </si>
  <si>
    <t>ㆍ월,수,금(다자녀20%할인)</t>
    <phoneticPr fontId="2" type="noConversion"/>
  </si>
  <si>
    <t>ㆍ화,목(다자녀20%할인)</t>
    <phoneticPr fontId="2" type="noConversion"/>
  </si>
  <si>
    <t xml:space="preserve">ㆍ화,목(노인50%할인)   </t>
    <phoneticPr fontId="3" type="noConversion"/>
  </si>
  <si>
    <t>ㆍ주말</t>
    <phoneticPr fontId="2" type="noConversion"/>
  </si>
  <si>
    <t xml:space="preserve">ㆍ주말(다자녀20%할인)   </t>
    <phoneticPr fontId="3" type="noConversion"/>
  </si>
  <si>
    <t xml:space="preserve">ㆍ주말(노인50%할인)   </t>
    <phoneticPr fontId="3" type="noConversion"/>
  </si>
  <si>
    <t>ㆍ성인(화,목)(다자녀20%할인)</t>
    <phoneticPr fontId="2" type="noConversion"/>
  </si>
  <si>
    <t>ㆍ청소년,성인</t>
    <phoneticPr fontId="2" type="noConversion"/>
  </si>
  <si>
    <t>ㆍ청소년,성인(다자녀20%할인)</t>
    <phoneticPr fontId="2" type="noConversion"/>
  </si>
  <si>
    <t>ㆍ어린이,청소년</t>
    <phoneticPr fontId="2" type="noConversion"/>
  </si>
  <si>
    <t xml:space="preserve">ㆍ어린이,청소년(다자녀20%할인) </t>
    <phoneticPr fontId="2" type="noConversion"/>
  </si>
  <si>
    <t xml:space="preserve">ㆍ노인(다자녀20%할인) </t>
    <phoneticPr fontId="2" type="noConversion"/>
  </si>
  <si>
    <t xml:space="preserve">ㆍ어린이 </t>
    <phoneticPr fontId="2" type="noConversion"/>
  </si>
  <si>
    <t xml:space="preserve">  o 배드민턴 소그룹 레슨(다자녀20%할인) </t>
    <phoneticPr fontId="3" type="noConversion"/>
  </si>
  <si>
    <t>ㆍ성인,직장인반(다자녀20%할인)</t>
    <phoneticPr fontId="2" type="noConversion"/>
  </si>
  <si>
    <t>ㆍ주2회 어린이반(다자녀20%할인)</t>
    <phoneticPr fontId="2" type="noConversion"/>
  </si>
  <si>
    <t xml:space="preserve">       </t>
    <phoneticPr fontId="3" type="noConversion"/>
  </si>
  <si>
    <t>ㆍ주2회 성인반(다자녀20%할인)</t>
    <phoneticPr fontId="2" type="noConversion"/>
  </si>
  <si>
    <t>ㆍ주2회 주말 어린이반(다자녀20%할인)</t>
    <phoneticPr fontId="2" type="noConversion"/>
  </si>
  <si>
    <t>ㆍ주2회 주말 성인반(다자녀20%할인)</t>
    <phoneticPr fontId="2" type="noConversion"/>
  </si>
  <si>
    <t>ㆍ청소년 (다자녀50%할인)</t>
    <phoneticPr fontId="2" type="noConversion"/>
  </si>
  <si>
    <t>ㆍ직장인(성인)(06시, 07시, 20시)</t>
    <phoneticPr fontId="2" type="noConversion"/>
  </si>
  <si>
    <t>ㆍ직장인(청소년)(06시,07시,20시)</t>
    <phoneticPr fontId="2" type="noConversion"/>
  </si>
  <si>
    <t xml:space="preserve">  o 어머니반(성인)(09시,10시,11시)</t>
    <phoneticPr fontId="3" type="noConversion"/>
  </si>
  <si>
    <t>ㆍ주2회(화,목)(여성10%할인)</t>
  </si>
  <si>
    <t xml:space="preserve">  o 어머니반(청소년)(09시, 10시, 11시)</t>
  </si>
  <si>
    <t xml:space="preserve">  o 단소수영반 (10시, 11시)</t>
    <phoneticPr fontId="3" type="noConversion"/>
  </si>
  <si>
    <t>ㆍ주2회(화,목) 성인</t>
    <phoneticPr fontId="2" type="noConversion"/>
  </si>
  <si>
    <t>ㆍ주2회(화,목)청소년</t>
    <phoneticPr fontId="2" type="noConversion"/>
  </si>
  <si>
    <t>ㆍ주2회(화,목)청소년(여성10%할인)</t>
    <phoneticPr fontId="2" type="noConversion"/>
  </si>
  <si>
    <t xml:space="preserve">      ㆍ주2회(화,목)청소년(다자녀50%할인)</t>
    <phoneticPr fontId="2" type="noConversion"/>
  </si>
  <si>
    <t xml:space="preserve">  o 유아반 (15시)</t>
    <phoneticPr fontId="3" type="noConversion"/>
  </si>
  <si>
    <t xml:space="preserve">  o 어린이반(14시,16시,17시,18시,19시)</t>
    <phoneticPr fontId="3" type="noConversion"/>
  </si>
  <si>
    <t>ㆍ주5회(월~금)(여성10%할인)</t>
  </si>
  <si>
    <t>ㆍ주5회(월~금)(다자녀50%할인)</t>
  </si>
  <si>
    <t>ㆍ월2회(3인가족)(토)</t>
  </si>
  <si>
    <t>ㆍ월2회(4인가족)(토)</t>
  </si>
  <si>
    <t>ㆍ월2회(4인가족)(토)(다자녀50%할인)</t>
  </si>
  <si>
    <t xml:space="preserve">  o 장애인 수영교실(18시,21시)</t>
    <phoneticPr fontId="3" type="noConversion"/>
  </si>
  <si>
    <t xml:space="preserve">다자녀 할인에 따른 감소 및 월 이용인원 4명 증가 </t>
    <phoneticPr fontId="2" type="noConversion"/>
  </si>
  <si>
    <t>ㆍ헬스 방학특강(주3회)(폐강)</t>
  </si>
  <si>
    <t xml:space="preserve">  o 청소년헬스업(폐강)</t>
  </si>
  <si>
    <t>ㆍ주3회(월수금)</t>
    <phoneticPr fontId="2" type="noConversion"/>
  </si>
  <si>
    <t>ㆍ요가(월,수,금)</t>
    <phoneticPr fontId="2" type="noConversion"/>
  </si>
  <si>
    <t>50,000원 ×  10명 × 9월 =</t>
    <phoneticPr fontId="3" type="noConversion"/>
  </si>
  <si>
    <t>ㆍ요가(월,수,금)(다자녀50%할인)</t>
    <phoneticPr fontId="2" type="noConversion"/>
  </si>
  <si>
    <t>50,000원 ×  5명 × 9월 × 50% =</t>
    <phoneticPr fontId="3" type="noConversion"/>
  </si>
  <si>
    <t>ㆍ필라테스(화,목)</t>
    <phoneticPr fontId="2" type="noConversion"/>
  </si>
  <si>
    <t>47,000원 ×  10명 × 9월 =</t>
    <phoneticPr fontId="3" type="noConversion"/>
  </si>
  <si>
    <t>ㆍ필라테스(화,목)(다자녀50%할인)</t>
    <phoneticPr fontId="2" type="noConversion"/>
  </si>
  <si>
    <t>47,000원 × 5명 × 9월 × 50% =</t>
    <phoneticPr fontId="3" type="noConversion"/>
  </si>
  <si>
    <t xml:space="preserve">다자녀 감면으로 인한 감소 및 월 이용인원 증가 </t>
    <phoneticPr fontId="2" type="noConversion"/>
  </si>
  <si>
    <t xml:space="preserve">이용인원 9명 증가 </t>
    <phoneticPr fontId="2" type="noConversion"/>
  </si>
  <si>
    <t xml:space="preserve">다자녀 할인에 따른 감소 및 월 이용인원 2명 증가 </t>
    <phoneticPr fontId="2" type="noConversion"/>
  </si>
  <si>
    <t>ㆍ단소 배드민턴(월,수,금)</t>
    <phoneticPr fontId="2" type="noConversion"/>
  </si>
  <si>
    <t xml:space="preserve">다자녀 할인에 따른 감소 및 월 이용인원 6명 증가 </t>
    <phoneticPr fontId="2" type="noConversion"/>
  </si>
  <si>
    <t xml:space="preserve">  o 풋살(김신욱축구교실)(폐강)</t>
  </si>
  <si>
    <t xml:space="preserve">  o 지상1층 수영용품점 공과금</t>
    <phoneticPr fontId="3" type="noConversion"/>
  </si>
  <si>
    <t>213-2</t>
    <phoneticPr fontId="2" type="noConversion"/>
  </si>
  <si>
    <t xml:space="preserve">       - 1차 2인가족(여성10%할인)</t>
    <phoneticPr fontId="2" type="noConversion"/>
  </si>
  <si>
    <t xml:space="preserve">       - 2차 2인가족(여성10%할인)</t>
    <phoneticPr fontId="2" type="noConversion"/>
  </si>
  <si>
    <t>35,200원 × 4조 × 1월 =</t>
    <phoneticPr fontId="3" type="noConversion"/>
  </si>
  <si>
    <t>52,200원 × 15명 × 2개반 × 12월 =</t>
    <phoneticPr fontId="2" type="noConversion"/>
  </si>
  <si>
    <t>80,000원 × 15명 × 12월 × 50%  =</t>
    <phoneticPr fontId="2" type="noConversion"/>
  </si>
  <si>
    <t>36,000원 × 26명 × 12월 =</t>
    <phoneticPr fontId="3" type="noConversion"/>
  </si>
  <si>
    <t>36,000원 × 30명 × 12월 × 50% =</t>
    <phoneticPr fontId="3" type="noConversion"/>
  </si>
  <si>
    <t>24,000원 × 26명 × 12월  =</t>
    <phoneticPr fontId="3" type="noConversion"/>
  </si>
  <si>
    <t>24,000원 × 30명 × 12월 × 50% =</t>
    <phoneticPr fontId="3" type="noConversion"/>
  </si>
  <si>
    <t>2,300,000원 ×12월 =</t>
    <phoneticPr fontId="3" type="noConversion"/>
  </si>
  <si>
    <t>시민회관체육운영처</t>
    <phoneticPr fontId="2" type="noConversion"/>
  </si>
  <si>
    <t>771,000,000원 ×1식 =</t>
    <phoneticPr fontId="3" type="noConversion"/>
  </si>
  <si>
    <t>2024년 수준(문화재단 정상운영)</t>
  </si>
  <si>
    <t>4,925,000원 ×1식 =</t>
    <phoneticPr fontId="3" type="noConversion"/>
  </si>
  <si>
    <t>수영장 천장 공사에 따른 미사용(4개월)으로 납부시기 지연 및 분납</t>
    <phoneticPr fontId="2" type="noConversion"/>
  </si>
  <si>
    <t>6,400,000원 ×1식 =</t>
    <phoneticPr fontId="3" type="noConversion"/>
  </si>
  <si>
    <t>39,600,000원 ×1식 =</t>
    <phoneticPr fontId="3" type="noConversion"/>
  </si>
  <si>
    <t>2024년 수준(커피타임 정상 운영)</t>
    <phoneticPr fontId="2" type="noConversion"/>
  </si>
  <si>
    <t>문화동 2층 동아리방 이전에 따른 공실 발생</t>
    <phoneticPr fontId="2" type="noConversion"/>
  </si>
  <si>
    <t>문화동 2층 센터이전에 따른 공실 발생</t>
    <phoneticPr fontId="2" type="noConversion"/>
  </si>
  <si>
    <t>10,000,000원 ×12월 =</t>
    <phoneticPr fontId="3" type="noConversion"/>
  </si>
  <si>
    <t>(단위: 천원)</t>
    <phoneticPr fontId="2" type="noConversion"/>
  </si>
  <si>
    <t>ㆍ아기사랑 수영교실 SUMMER PACKAGE</t>
    <phoneticPr fontId="2" type="noConversion"/>
  </si>
  <si>
    <t>2025년도
당초예산</t>
    <phoneticPr fontId="2" type="noConversion"/>
  </si>
  <si>
    <t>2025년도
1회추경예산</t>
    <phoneticPr fontId="2" type="noConversion"/>
  </si>
  <si>
    <t xml:space="preserve">  o 관문체육공원 부설주차장 사용료</t>
    <phoneticPr fontId="3" type="noConversion"/>
  </si>
  <si>
    <t>ㆍ월정기 사용료 수입</t>
    <phoneticPr fontId="2" type="noConversion"/>
  </si>
  <si>
    <t xml:space="preserve">       기정             0원 (0원)</t>
    <phoneticPr fontId="2" type="noConversion"/>
  </si>
  <si>
    <t xml:space="preserve">  o 문원체육공원 부설주차장 사용료</t>
    <phoneticPr fontId="3" type="noConversion"/>
  </si>
  <si>
    <t>ㆍ일일 사용료 수입</t>
    <phoneticPr fontId="2" type="noConversion"/>
  </si>
  <si>
    <t xml:space="preserve">       경정 28,332,000원 (2,361,000원 × 12월) -</t>
    <phoneticPr fontId="2" type="noConversion"/>
  </si>
  <si>
    <t xml:space="preserve">       경정 23,820,000원 (1,985,000원 × 12월) -</t>
    <phoneticPr fontId="2" type="noConversion"/>
  </si>
  <si>
    <t xml:space="preserve">       경정 15,900,000원 (1,325,000원 × 12월) -</t>
    <phoneticPr fontId="2" type="noConversion"/>
  </si>
  <si>
    <t>○ 공원 부설주차장 수입</t>
    <phoneticPr fontId="3" type="noConversion"/>
  </si>
  <si>
    <t xml:space="preserve">       경정 22,920,000원 (1,910,000원 × 12월) -</t>
    <phoneticPr fontId="2" type="noConversion"/>
  </si>
  <si>
    <t>무료주차장 유료화 전환(2025. 1. 1.)</t>
  </si>
  <si>
    <t>제1회추경
예산액</t>
    <phoneticPr fontId="2" type="noConversion"/>
  </si>
  <si>
    <t>기정
예산액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</si>
</sst>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76" formatCode="#,##0;\△#,##0_ "/>
    <numFmt numFmtId="177" formatCode="\ #,##0;\△\ #,##0_ "/>
    <numFmt numFmtId="178" formatCode="_-* #,##0.0_-;\-* #,##0.0_-;_-* &quot;-&quot;???_-;_-@_-"/>
    <numFmt numFmtId="179" formatCode="#,##0_ "/>
  </numFmts>
  <fonts count="5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9"/>
      <color rgb="FF000000"/>
      <name val="나눔고딕"/>
      <family val="3"/>
      <charset val="129"/>
    </font>
    <font>
      <sz val="9"/>
      <color rgb="FFFF0000"/>
      <name val="나눔고딕"/>
      <family val="3"/>
      <charset val="129"/>
    </font>
    <font>
      <sz val="9"/>
      <name val="나눔고딕"/>
      <family val="3"/>
      <charset val="129"/>
    </font>
    <font>
      <sz val="10"/>
      <name val="나눔고딕"/>
      <family val="3"/>
      <charset val="129"/>
    </font>
    <font>
      <sz val="11"/>
      <name val="맑은 고딕"/>
      <family val="3"/>
      <charset val="129"/>
    </font>
    <font>
      <sz val="9"/>
      <name val="맑은 고딕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맑은 고딕"/>
      <family val="2"/>
      <charset val="129"/>
      <scheme val="minor"/>
    </font>
    <font>
      <b/>
      <sz val="9"/>
      <name val="나눔고딕"/>
      <family val="3"/>
      <charset val="129"/>
    </font>
    <font>
      <b/>
      <sz val="10"/>
      <name val="나눔고딕"/>
      <family val="3"/>
      <charset val="129"/>
    </font>
    <font>
      <b/>
      <sz val="11"/>
      <name val="맑은 고딕"/>
      <family val="3"/>
      <charset val="129"/>
    </font>
    <font>
      <sz val="9"/>
      <name val="맑은 고딕"/>
      <family val="3"/>
      <charset val="129"/>
      <scheme val="minor"/>
    </font>
    <font>
      <b/>
      <sz val="9"/>
      <name val="맑은 고딕"/>
      <family val="3"/>
      <charset val="129"/>
    </font>
    <font>
      <b/>
      <sz val="13"/>
      <name val="맑은 고딕"/>
      <family val="3"/>
      <charset val="129"/>
      <scheme val="major"/>
    </font>
    <font>
      <sz val="13"/>
      <name val="맑은 고딕"/>
      <family val="3"/>
      <charset val="129"/>
      <scheme val="major"/>
    </font>
    <font>
      <sz val="13"/>
      <color rgb="FF000000"/>
      <name val="맑은 고딕"/>
      <family val="3"/>
      <charset val="129"/>
      <scheme val="major"/>
    </font>
    <font>
      <b/>
      <sz val="13"/>
      <color rgb="FF000000"/>
      <name val="맑은 고딕"/>
      <family val="3"/>
      <charset val="129"/>
      <scheme val="major"/>
    </font>
    <font>
      <sz val="13"/>
      <color theme="1"/>
      <name val="맑은 고딕"/>
      <family val="3"/>
      <charset val="129"/>
      <scheme val="major"/>
    </font>
    <font>
      <sz val="13"/>
      <color rgb="FFFFFFFF"/>
      <name val="맑은 고딕"/>
      <family val="3"/>
      <charset val="129"/>
      <scheme val="major"/>
    </font>
    <font>
      <sz val="13"/>
      <color rgb="FFFF0000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b/>
      <sz val="9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1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ajor"/>
    </font>
    <font>
      <strike/>
      <sz val="13"/>
      <name val="맑은 고딕"/>
      <family val="3"/>
      <charset val="129"/>
      <scheme val="major"/>
    </font>
    <font>
      <strike/>
      <sz val="13"/>
      <color theme="1"/>
      <name val="맑은 고딕"/>
      <family val="3"/>
      <charset val="129"/>
      <scheme val="major"/>
    </font>
    <font>
      <b/>
      <sz val="13"/>
      <color theme="0"/>
      <name val="맑은 고딕"/>
      <family val="3"/>
      <charset val="129"/>
      <scheme val="major"/>
    </font>
    <font>
      <sz val="13"/>
      <color theme="0"/>
      <name val="맑은 고딕"/>
      <family val="3"/>
      <charset val="129"/>
      <scheme val="major"/>
    </font>
    <font>
      <b/>
      <sz val="14"/>
      <name val="맑은 고딕"/>
      <family val="3"/>
      <charset val="129"/>
      <scheme val="major"/>
    </font>
    <font>
      <b/>
      <sz val="14"/>
      <color rgb="FF000000"/>
      <name val="맑은 고딕"/>
      <family val="3"/>
      <charset val="129"/>
      <scheme val="major"/>
    </font>
    <font>
      <sz val="14"/>
      <name val="맑은 고딕"/>
      <family val="3"/>
      <charset val="129"/>
      <scheme val="major"/>
    </font>
    <font>
      <b/>
      <sz val="14"/>
      <color theme="0"/>
      <name val="맑은 고딕"/>
      <family val="3"/>
      <charset val="129"/>
      <scheme val="major"/>
    </font>
    <font>
      <sz val="14"/>
      <name val="맑은 고딕"/>
      <family val="3"/>
      <charset val="129"/>
      <scheme val="minor"/>
    </font>
    <font>
      <strike/>
      <sz val="14"/>
      <name val="맑은 고딕"/>
      <family val="3"/>
      <charset val="129"/>
      <scheme val="major"/>
    </font>
    <font>
      <sz val="14"/>
      <color theme="1"/>
      <name val="맑은 고딕"/>
      <family val="3"/>
      <charset val="129"/>
      <scheme val="minor"/>
    </font>
    <font>
      <sz val="14"/>
      <color theme="0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sz val="9"/>
      <color theme="0"/>
      <name val="맑은 고딕"/>
      <family val="3"/>
      <charset val="129"/>
      <scheme val="major"/>
    </font>
    <font>
      <sz val="10"/>
      <color theme="0"/>
      <name val="맑은 고딕"/>
      <family val="3"/>
      <charset val="129"/>
      <scheme val="major"/>
    </font>
    <font>
      <sz val="8"/>
      <color theme="0"/>
      <name val="맑은 고딕"/>
      <family val="3"/>
      <charset val="129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EAEAEA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rgb="FFEAEAEA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41" fontId="1" fillId="0" borderId="0">
      <alignment vertical="center"/>
    </xf>
    <xf numFmtId="0" fontId="1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57">
    <xf numFmtId="0" fontId="0" fillId="0" borderId="0" xfId="0">
      <alignment vertical="center"/>
    </xf>
    <xf numFmtId="176" fontId="6" fillId="2" borderId="8" xfId="1" applyNumberFormat="1" applyFont="1" applyFill="1" applyBorder="1" applyAlignment="1">
      <alignment horizontal="right" vertical="center"/>
    </xf>
    <xf numFmtId="49" fontId="6" fillId="2" borderId="9" xfId="1" applyNumberFormat="1" applyFont="1" applyFill="1" applyBorder="1" applyAlignment="1">
      <alignment horizontal="center" vertical="center" wrapText="1"/>
    </xf>
    <xf numFmtId="49" fontId="7" fillId="2" borderId="9" xfId="1" applyNumberFormat="1" applyFont="1" applyFill="1" applyBorder="1" applyAlignment="1">
      <alignment horizontal="center" vertical="center" wrapText="1"/>
    </xf>
    <xf numFmtId="49" fontId="7" fillId="2" borderId="10" xfId="1" applyNumberFormat="1" applyFont="1" applyFill="1" applyBorder="1" applyAlignment="1">
      <alignment horizontal="center" vertical="center" wrapText="1"/>
    </xf>
    <xf numFmtId="176" fontId="6" fillId="2" borderId="12" xfId="1" applyNumberFormat="1" applyFont="1" applyFill="1" applyBorder="1" applyAlignment="1">
      <alignment horizontal="right" vertical="center"/>
    </xf>
    <xf numFmtId="49" fontId="7" fillId="2" borderId="10" xfId="1" applyNumberFormat="1" applyFont="1" applyFill="1" applyBorder="1" applyAlignment="1">
      <alignment horizontal="left" vertical="center" wrapText="1"/>
    </xf>
    <xf numFmtId="49" fontId="6" fillId="2" borderId="10" xfId="1" applyNumberFormat="1" applyFont="1" applyFill="1" applyBorder="1" applyAlignment="1">
      <alignment horizontal="center" vertical="center" wrapText="1"/>
    </xf>
    <xf numFmtId="176" fontId="6" fillId="2" borderId="10" xfId="1" applyNumberFormat="1" applyFont="1" applyFill="1" applyBorder="1" applyAlignment="1">
      <alignment horizontal="right" vertical="center"/>
    </xf>
    <xf numFmtId="176" fontId="6" fillId="2" borderId="4" xfId="1" applyNumberFormat="1" applyFont="1" applyFill="1" applyBorder="1" applyAlignment="1">
      <alignment horizontal="right" vertical="center"/>
    </xf>
    <xf numFmtId="49" fontId="6" fillId="2" borderId="14" xfId="1" applyNumberFormat="1" applyFont="1" applyFill="1" applyBorder="1" applyAlignment="1">
      <alignment horizontal="center" vertical="center" wrapText="1"/>
    </xf>
    <xf numFmtId="49" fontId="6" fillId="2" borderId="7" xfId="1" applyNumberFormat="1" applyFont="1" applyFill="1" applyBorder="1" applyAlignment="1">
      <alignment horizontal="center" vertical="center" wrapText="1"/>
    </xf>
    <xf numFmtId="176" fontId="6" fillId="2" borderId="7" xfId="1" applyNumberFormat="1" applyFont="1" applyFill="1" applyBorder="1" applyAlignment="1">
      <alignment horizontal="right" vertical="center"/>
    </xf>
    <xf numFmtId="176" fontId="6" fillId="5" borderId="10" xfId="1" applyNumberFormat="1" applyFont="1" applyFill="1" applyBorder="1" applyAlignment="1">
      <alignment horizontal="right" vertical="center"/>
    </xf>
    <xf numFmtId="176" fontId="5" fillId="2" borderId="10" xfId="0" applyNumberFormat="1" applyFont="1" applyFill="1" applyBorder="1" applyAlignment="1">
      <alignment horizontal="right" vertical="center"/>
    </xf>
    <xf numFmtId="49" fontId="6" fillId="2" borderId="9" xfId="0" applyNumberFormat="1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49" fontId="6" fillId="4" borderId="9" xfId="1" applyNumberFormat="1" applyFont="1" applyFill="1" applyBorder="1" applyAlignment="1">
      <alignment horizontal="center" vertical="center" wrapText="1"/>
    </xf>
    <xf numFmtId="49" fontId="6" fillId="4" borderId="10" xfId="1" applyNumberFormat="1" applyFont="1" applyFill="1" applyBorder="1" applyAlignment="1">
      <alignment horizontal="center" vertical="center" wrapText="1"/>
    </xf>
    <xf numFmtId="176" fontId="6" fillId="4" borderId="10" xfId="1" applyNumberFormat="1" applyFont="1" applyFill="1" applyBorder="1" applyAlignment="1">
      <alignment horizontal="right" vertical="center"/>
    </xf>
    <xf numFmtId="176" fontId="6" fillId="2" borderId="8" xfId="0" applyNumberFormat="1" applyFont="1" applyFill="1" applyBorder="1" applyAlignment="1">
      <alignment horizontal="right" vertical="center"/>
    </xf>
    <xf numFmtId="176" fontId="6" fillId="2" borderId="12" xfId="0" applyNumberFormat="1" applyFont="1" applyFill="1" applyBorder="1" applyAlignment="1">
      <alignment horizontal="right" vertical="center"/>
    </xf>
    <xf numFmtId="176" fontId="6" fillId="2" borderId="10" xfId="0" applyNumberFormat="1" applyFont="1" applyFill="1" applyBorder="1" applyAlignment="1">
      <alignment horizontal="right" vertical="center"/>
    </xf>
    <xf numFmtId="176" fontId="6" fillId="2" borderId="9" xfId="0" applyNumberFormat="1" applyFont="1" applyFill="1" applyBorder="1" applyAlignment="1">
      <alignment horizontal="right" vertical="center"/>
    </xf>
    <xf numFmtId="177" fontId="6" fillId="2" borderId="10" xfId="1" applyNumberFormat="1" applyFont="1" applyFill="1" applyBorder="1" applyAlignment="1">
      <alignment horizontal="right" vertical="center" wrapText="1"/>
    </xf>
    <xf numFmtId="0" fontId="8" fillId="4" borderId="0" xfId="1" applyFont="1" applyFill="1">
      <alignment vertical="center"/>
    </xf>
    <xf numFmtId="0" fontId="8" fillId="2" borderId="0" xfId="1" applyFont="1" applyFill="1">
      <alignment vertical="center"/>
    </xf>
    <xf numFmtId="49" fontId="7" fillId="2" borderId="14" xfId="1" applyNumberFormat="1" applyFont="1" applyFill="1" applyBorder="1" applyAlignment="1">
      <alignment horizontal="center" vertical="center" wrapText="1"/>
    </xf>
    <xf numFmtId="49" fontId="7" fillId="2" borderId="7" xfId="1" applyNumberFormat="1" applyFont="1" applyFill="1" applyBorder="1" applyAlignment="1">
      <alignment horizontal="center" vertical="center" wrapText="1"/>
    </xf>
    <xf numFmtId="49" fontId="7" fillId="2" borderId="7" xfId="1" applyNumberFormat="1" applyFont="1" applyFill="1" applyBorder="1" applyAlignment="1">
      <alignment horizontal="left" vertical="center" wrapText="1"/>
    </xf>
    <xf numFmtId="49" fontId="6" fillId="2" borderId="0" xfId="1" applyNumberFormat="1" applyFont="1" applyFill="1" applyBorder="1" applyAlignment="1">
      <alignment vertical="center"/>
    </xf>
    <xf numFmtId="49" fontId="7" fillId="2" borderId="12" xfId="1" applyNumberFormat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vertical="center" wrapText="1"/>
    </xf>
    <xf numFmtId="0" fontId="9" fillId="4" borderId="0" xfId="1" applyFont="1" applyFill="1">
      <alignment vertical="center"/>
    </xf>
    <xf numFmtId="0" fontId="9" fillId="2" borderId="0" xfId="1" applyFont="1" applyFill="1">
      <alignment vertical="center"/>
    </xf>
    <xf numFmtId="49" fontId="6" fillId="2" borderId="6" xfId="1" applyNumberFormat="1" applyFont="1" applyFill="1" applyBorder="1" applyAlignment="1">
      <alignment horizontal="left" vertical="center" wrapText="1"/>
    </xf>
    <xf numFmtId="49" fontId="7" fillId="2" borderId="9" xfId="0" applyNumberFormat="1" applyFont="1" applyFill="1" applyBorder="1" applyAlignment="1">
      <alignment horizontal="center" vertical="center" wrapText="1"/>
    </xf>
    <xf numFmtId="49" fontId="7" fillId="2" borderId="10" xfId="0" applyNumberFormat="1" applyFont="1" applyFill="1" applyBorder="1" applyAlignment="1">
      <alignment horizontal="center" vertical="center" wrapText="1"/>
    </xf>
    <xf numFmtId="49" fontId="7" fillId="2" borderId="10" xfId="0" applyNumberFormat="1" applyFont="1" applyFill="1" applyBorder="1" applyAlignment="1">
      <alignment horizontal="left" vertical="center" wrapText="1"/>
    </xf>
    <xf numFmtId="0" fontId="11" fillId="2" borderId="0" xfId="0" applyFont="1" applyFill="1">
      <alignment vertical="center"/>
    </xf>
    <xf numFmtId="176" fontId="12" fillId="2" borderId="10" xfId="0" applyNumberFormat="1" applyFont="1" applyFill="1" applyBorder="1" applyAlignment="1">
      <alignment horizontal="right" vertical="center"/>
    </xf>
    <xf numFmtId="177" fontId="6" fillId="2" borderId="10" xfId="0" applyNumberFormat="1" applyFont="1" applyFill="1" applyBorder="1" applyAlignment="1">
      <alignment horizontal="right" vertical="center" wrapText="1"/>
    </xf>
    <xf numFmtId="177" fontId="6" fillId="2" borderId="14" xfId="0" applyNumberFormat="1" applyFont="1" applyFill="1" applyBorder="1" applyAlignment="1">
      <alignment horizontal="right" vertical="center" wrapText="1"/>
    </xf>
    <xf numFmtId="177" fontId="6" fillId="2" borderId="7" xfId="0" applyNumberFormat="1" applyFont="1" applyFill="1" applyBorder="1" applyAlignment="1">
      <alignment horizontal="right" vertical="center" wrapText="1"/>
    </xf>
    <xf numFmtId="49" fontId="12" fillId="2" borderId="9" xfId="0" applyNumberFormat="1" applyFont="1" applyFill="1" applyBorder="1" applyAlignment="1">
      <alignment horizontal="center" vertical="center" wrapText="1"/>
    </xf>
    <xf numFmtId="49" fontId="12" fillId="2" borderId="10" xfId="0" applyNumberFormat="1" applyFont="1" applyFill="1" applyBorder="1" applyAlignment="1">
      <alignment horizontal="center" vertical="center" wrapText="1"/>
    </xf>
    <xf numFmtId="49" fontId="12" fillId="2" borderId="0" xfId="0" applyNumberFormat="1" applyFont="1" applyFill="1" applyBorder="1" applyAlignment="1">
      <alignment horizontal="left" vertical="center" wrapText="1"/>
    </xf>
    <xf numFmtId="0" fontId="14" fillId="2" borderId="0" xfId="0" applyFont="1" applyFill="1">
      <alignment vertical="center"/>
    </xf>
    <xf numFmtId="41" fontId="8" fillId="2" borderId="0" xfId="2" applyFont="1" applyFill="1">
      <alignment vertical="center"/>
    </xf>
    <xf numFmtId="178" fontId="11" fillId="2" borderId="0" xfId="0" applyNumberFormat="1" applyFont="1" applyFill="1">
      <alignment vertical="center"/>
    </xf>
    <xf numFmtId="41" fontId="6" fillId="2" borderId="4" xfId="4" applyFont="1" applyFill="1" applyBorder="1" applyAlignment="1">
      <alignment horizontal="left" vertical="center" wrapText="1"/>
    </xf>
    <xf numFmtId="176" fontId="6" fillId="5" borderId="10" xfId="0" applyNumberFormat="1" applyFont="1" applyFill="1" applyBorder="1" applyAlignment="1">
      <alignment horizontal="right" vertical="center"/>
    </xf>
    <xf numFmtId="176" fontId="9" fillId="2" borderId="0" xfId="1" applyNumberFormat="1" applyFont="1" applyFill="1">
      <alignment vertical="center"/>
    </xf>
    <xf numFmtId="49" fontId="6" fillId="5" borderId="9" xfId="1" applyNumberFormat="1" applyFont="1" applyFill="1" applyBorder="1" applyAlignment="1">
      <alignment horizontal="center" vertical="center" wrapText="1"/>
    </xf>
    <xf numFmtId="49" fontId="6" fillId="5" borderId="10" xfId="1" applyNumberFormat="1" applyFont="1" applyFill="1" applyBorder="1" applyAlignment="1">
      <alignment horizontal="center" vertical="center" wrapText="1"/>
    </xf>
    <xf numFmtId="0" fontId="8" fillId="5" borderId="0" xfId="1" applyFont="1" applyFill="1">
      <alignment vertical="center"/>
    </xf>
    <xf numFmtId="49" fontId="7" fillId="5" borderId="9" xfId="1" applyNumberFormat="1" applyFont="1" applyFill="1" applyBorder="1" applyAlignment="1">
      <alignment horizontal="center" vertical="center" wrapText="1"/>
    </xf>
    <xf numFmtId="49" fontId="7" fillId="5" borderId="10" xfId="1" applyNumberFormat="1" applyFont="1" applyFill="1" applyBorder="1" applyAlignment="1">
      <alignment horizontal="center" vertical="center" wrapText="1"/>
    </xf>
    <xf numFmtId="49" fontId="7" fillId="5" borderId="0" xfId="1" applyNumberFormat="1" applyFont="1" applyFill="1" applyBorder="1" applyAlignment="1">
      <alignment horizontal="left" vertical="center" wrapText="1"/>
    </xf>
    <xf numFmtId="176" fontId="6" fillId="5" borderId="9" xfId="1" applyNumberFormat="1" applyFont="1" applyFill="1" applyBorder="1" applyAlignment="1">
      <alignment horizontal="right" vertical="center"/>
    </xf>
    <xf numFmtId="49" fontId="6" fillId="5" borderId="6" xfId="1" applyNumberFormat="1" applyFont="1" applyFill="1" applyBorder="1" applyAlignment="1">
      <alignment horizontal="left" vertical="center" wrapText="1"/>
    </xf>
    <xf numFmtId="176" fontId="6" fillId="5" borderId="7" xfId="1" applyNumberFormat="1" applyFont="1" applyFill="1" applyBorder="1" applyAlignment="1">
      <alignment horizontal="right" vertical="center"/>
    </xf>
    <xf numFmtId="176" fontId="6" fillId="5" borderId="14" xfId="1" applyNumberFormat="1" applyFont="1" applyFill="1" applyBorder="1" applyAlignment="1">
      <alignment horizontal="right" vertical="center"/>
    </xf>
    <xf numFmtId="49" fontId="6" fillId="2" borderId="13" xfId="1" applyNumberFormat="1" applyFont="1" applyFill="1" applyBorder="1" applyAlignment="1">
      <alignment horizontal="left" vertical="center"/>
    </xf>
    <xf numFmtId="49" fontId="6" fillId="2" borderId="0" xfId="1" applyNumberFormat="1" applyFont="1" applyFill="1" applyBorder="1" applyAlignment="1">
      <alignment horizontal="left" vertical="center"/>
    </xf>
    <xf numFmtId="49" fontId="6" fillId="2" borderId="0" xfId="1" applyNumberFormat="1" applyFont="1" applyFill="1" applyBorder="1" applyAlignment="1">
      <alignment horizontal="right" vertical="center"/>
    </xf>
    <xf numFmtId="49" fontId="6" fillId="2" borderId="0" xfId="1" applyNumberFormat="1" applyFont="1" applyFill="1" applyBorder="1" applyAlignment="1">
      <alignment horizontal="left" vertical="center" wrapText="1"/>
    </xf>
    <xf numFmtId="49" fontId="6" fillId="5" borderId="0" xfId="1" applyNumberFormat="1" applyFont="1" applyFill="1" applyBorder="1" applyAlignment="1">
      <alignment horizontal="left" vertical="center" wrapText="1"/>
    </xf>
    <xf numFmtId="49" fontId="6" fillId="4" borderId="0" xfId="1" applyNumberFormat="1" applyFont="1" applyFill="1" applyBorder="1" applyAlignment="1">
      <alignment horizontal="left" vertical="center" wrapText="1"/>
    </xf>
    <xf numFmtId="49" fontId="6" fillId="2" borderId="10" xfId="1" applyNumberFormat="1" applyFont="1" applyFill="1" applyBorder="1" applyAlignment="1">
      <alignment horizontal="left" vertical="center" wrapText="1"/>
    </xf>
    <xf numFmtId="49" fontId="6" fillId="2" borderId="0" xfId="1" applyNumberFormat="1" applyFont="1" applyFill="1" applyBorder="1" applyAlignment="1">
      <alignment horizontal="right" vertical="center" wrapText="1"/>
    </xf>
    <xf numFmtId="49" fontId="6" fillId="2" borderId="0" xfId="0" applyNumberFormat="1" applyFont="1" applyFill="1" applyBorder="1" applyAlignment="1">
      <alignment horizontal="left" vertical="center" wrapText="1"/>
    </xf>
    <xf numFmtId="49" fontId="6" fillId="2" borderId="10" xfId="0" applyNumberFormat="1" applyFont="1" applyFill="1" applyBorder="1" applyAlignment="1">
      <alignment horizontal="left" vertical="center" wrapText="1"/>
    </xf>
    <xf numFmtId="49" fontId="6" fillId="2" borderId="0" xfId="0" applyNumberFormat="1" applyFont="1" applyFill="1" applyBorder="1" applyAlignment="1">
      <alignment horizontal="right" vertical="center" wrapText="1"/>
    </xf>
    <xf numFmtId="49" fontId="6" fillId="4" borderId="0" xfId="1" applyNumberFormat="1" applyFont="1" applyFill="1" applyBorder="1" applyAlignment="1">
      <alignment horizontal="right" vertical="center" wrapText="1"/>
    </xf>
    <xf numFmtId="176" fontId="5" fillId="2" borderId="10" xfId="5" applyNumberFormat="1" applyFont="1" applyFill="1" applyBorder="1" applyAlignment="1">
      <alignment horizontal="right" vertical="center"/>
    </xf>
    <xf numFmtId="176" fontId="15" fillId="2" borderId="0" xfId="0" applyNumberFormat="1" applyFont="1" applyFill="1">
      <alignment vertical="center"/>
    </xf>
    <xf numFmtId="0" fontId="15" fillId="2" borderId="0" xfId="0" applyFont="1" applyFill="1">
      <alignment vertical="center"/>
    </xf>
    <xf numFmtId="176" fontId="9" fillId="5" borderId="0" xfId="1" applyNumberFormat="1" applyFont="1" applyFill="1">
      <alignment vertical="center"/>
    </xf>
    <xf numFmtId="0" fontId="9" fillId="5" borderId="0" xfId="1" applyFont="1" applyFill="1">
      <alignment vertical="center"/>
    </xf>
    <xf numFmtId="176" fontId="9" fillId="4" borderId="0" xfId="1" applyNumberFormat="1" applyFont="1" applyFill="1">
      <alignment vertical="center"/>
    </xf>
    <xf numFmtId="0" fontId="16" fillId="2" borderId="0" xfId="0" applyFont="1" applyFill="1">
      <alignment vertical="center"/>
    </xf>
    <xf numFmtId="0" fontId="18" fillId="2" borderId="0" xfId="1" applyFont="1" applyFill="1">
      <alignment vertical="center"/>
    </xf>
    <xf numFmtId="176" fontId="17" fillId="7" borderId="8" xfId="1" applyNumberFormat="1" applyFont="1" applyFill="1" applyBorder="1" applyAlignment="1">
      <alignment horizontal="right" vertical="center"/>
    </xf>
    <xf numFmtId="176" fontId="18" fillId="2" borderId="0" xfId="1" applyNumberFormat="1" applyFont="1" applyFill="1">
      <alignment vertical="center"/>
    </xf>
    <xf numFmtId="176" fontId="18" fillId="2" borderId="8" xfId="1" applyNumberFormat="1" applyFont="1" applyFill="1" applyBorder="1" applyAlignment="1">
      <alignment horizontal="right" vertical="center"/>
    </xf>
    <xf numFmtId="49" fontId="18" fillId="2" borderId="9" xfId="1" applyNumberFormat="1" applyFont="1" applyFill="1" applyBorder="1" applyAlignment="1">
      <alignment horizontal="center" vertical="center" wrapText="1"/>
    </xf>
    <xf numFmtId="49" fontId="18" fillId="2" borderId="10" xfId="1" applyNumberFormat="1" applyFont="1" applyFill="1" applyBorder="1" applyAlignment="1">
      <alignment horizontal="center" vertical="center" wrapText="1"/>
    </xf>
    <xf numFmtId="49" fontId="18" fillId="2" borderId="9" xfId="0" applyNumberFormat="1" applyFont="1" applyFill="1" applyBorder="1" applyAlignment="1">
      <alignment horizontal="center" vertical="center" wrapText="1"/>
    </xf>
    <xf numFmtId="49" fontId="18" fillId="2" borderId="10" xfId="0" applyNumberFormat="1" applyFont="1" applyFill="1" applyBorder="1" applyAlignment="1">
      <alignment horizontal="center" vertical="center" wrapText="1"/>
    </xf>
    <xf numFmtId="49" fontId="18" fillId="2" borderId="10" xfId="0" applyNumberFormat="1" applyFont="1" applyFill="1" applyBorder="1" applyAlignment="1">
      <alignment horizontal="left" vertical="center" wrapText="1"/>
    </xf>
    <xf numFmtId="176" fontId="18" fillId="2" borderId="12" xfId="0" applyNumberFormat="1" applyFont="1" applyFill="1" applyBorder="1" applyAlignment="1">
      <alignment horizontal="right" vertical="center"/>
    </xf>
    <xf numFmtId="176" fontId="18" fillId="2" borderId="0" xfId="0" applyNumberFormat="1" applyFont="1" applyFill="1">
      <alignment vertical="center"/>
    </xf>
    <xf numFmtId="0" fontId="18" fillId="2" borderId="0" xfId="0" applyFont="1" applyFill="1">
      <alignment vertical="center"/>
    </xf>
    <xf numFmtId="49" fontId="18" fillId="2" borderId="0" xfId="0" applyNumberFormat="1" applyFont="1" applyFill="1" applyBorder="1" applyAlignment="1">
      <alignment horizontal="left" vertical="center" wrapText="1"/>
    </xf>
    <xf numFmtId="49" fontId="18" fillId="2" borderId="0" xfId="0" applyNumberFormat="1" applyFont="1" applyFill="1" applyBorder="1" applyAlignment="1">
      <alignment horizontal="right" vertical="center" wrapText="1"/>
    </xf>
    <xf numFmtId="176" fontId="18" fillId="2" borderId="10" xfId="0" applyNumberFormat="1" applyFont="1" applyFill="1" applyBorder="1" applyAlignment="1">
      <alignment horizontal="right" vertical="center"/>
    </xf>
    <xf numFmtId="49" fontId="18" fillId="2" borderId="0" xfId="1" applyNumberFormat="1" applyFont="1" applyFill="1" applyBorder="1" applyAlignment="1">
      <alignment horizontal="right" vertical="center" wrapText="1"/>
    </xf>
    <xf numFmtId="0" fontId="21" fillId="0" borderId="0" xfId="1" applyFont="1">
      <alignment vertical="center"/>
    </xf>
    <xf numFmtId="176" fontId="19" fillId="2" borderId="3" xfId="1" applyNumberFormat="1" applyFont="1" applyFill="1" applyBorder="1" applyAlignment="1">
      <alignment vertical="center"/>
    </xf>
    <xf numFmtId="41" fontId="21" fillId="0" borderId="0" xfId="2" applyFont="1">
      <alignment vertical="center"/>
    </xf>
    <xf numFmtId="49" fontId="19" fillId="0" borderId="9" xfId="1" applyNumberFormat="1" applyFont="1" applyFill="1" applyBorder="1" applyAlignment="1">
      <alignment horizontal="center" vertical="center" wrapText="1"/>
    </xf>
    <xf numFmtId="176" fontId="19" fillId="2" borderId="8" xfId="1" applyNumberFormat="1" applyFont="1" applyFill="1" applyBorder="1" applyAlignment="1">
      <alignment vertical="center"/>
    </xf>
    <xf numFmtId="49" fontId="22" fillId="0" borderId="10" xfId="1" applyNumberFormat="1" applyFont="1" applyFill="1" applyBorder="1" applyAlignment="1">
      <alignment horizontal="center" vertical="center" wrapText="1"/>
    </xf>
    <xf numFmtId="49" fontId="18" fillId="2" borderId="0" xfId="0" applyNumberFormat="1" applyFont="1" applyFill="1" applyBorder="1" applyAlignment="1">
      <alignment horizontal="center" vertical="center" wrapText="1"/>
    </xf>
    <xf numFmtId="49" fontId="18" fillId="2" borderId="25" xfId="0" applyNumberFormat="1" applyFont="1" applyFill="1" applyBorder="1" applyAlignment="1">
      <alignment horizontal="left" vertical="center" wrapText="1"/>
    </xf>
    <xf numFmtId="49" fontId="18" fillId="0" borderId="9" xfId="1" applyNumberFormat="1" applyFont="1" applyFill="1" applyBorder="1" applyAlignment="1">
      <alignment horizontal="center" vertical="center" wrapText="1"/>
    </xf>
    <xf numFmtId="49" fontId="18" fillId="0" borderId="10" xfId="1" applyNumberFormat="1" applyFont="1" applyFill="1" applyBorder="1" applyAlignment="1">
      <alignment horizontal="center" vertical="center" wrapText="1"/>
    </xf>
    <xf numFmtId="49" fontId="18" fillId="0" borderId="0" xfId="1" applyNumberFormat="1" applyFont="1" applyFill="1" applyBorder="1" applyAlignment="1">
      <alignment horizontal="right" vertical="center" wrapText="1"/>
    </xf>
    <xf numFmtId="176" fontId="18" fillId="0" borderId="10" xfId="1" applyNumberFormat="1" applyFont="1" applyFill="1" applyBorder="1" applyAlignment="1">
      <alignment horizontal="right" vertical="center"/>
    </xf>
    <xf numFmtId="176" fontId="18" fillId="2" borderId="10" xfId="1" applyNumberFormat="1" applyFont="1" applyFill="1" applyBorder="1" applyAlignment="1">
      <alignment vertical="center"/>
    </xf>
    <xf numFmtId="0" fontId="18" fillId="0" borderId="0" xfId="1" applyFont="1">
      <alignment vertical="center"/>
    </xf>
    <xf numFmtId="176" fontId="18" fillId="0" borderId="10" xfId="1" applyNumberFormat="1" applyFont="1" applyFill="1" applyBorder="1" applyAlignment="1">
      <alignment vertical="center"/>
    </xf>
    <xf numFmtId="0" fontId="18" fillId="0" borderId="0" xfId="1" applyFont="1" applyFill="1">
      <alignment vertical="center"/>
    </xf>
    <xf numFmtId="49" fontId="23" fillId="0" borderId="18" xfId="1" applyNumberFormat="1" applyFont="1" applyFill="1" applyBorder="1" applyAlignment="1">
      <alignment horizontal="center" vertical="center" wrapText="1"/>
    </xf>
    <xf numFmtId="49" fontId="23" fillId="0" borderId="19" xfId="1" applyNumberFormat="1" applyFont="1" applyFill="1" applyBorder="1" applyAlignment="1">
      <alignment horizontal="left" vertical="center" wrapText="1"/>
    </xf>
    <xf numFmtId="176" fontId="23" fillId="0" borderId="18" xfId="1" applyNumberFormat="1" applyFont="1" applyFill="1" applyBorder="1" applyAlignment="1">
      <alignment horizontal="right" vertical="center"/>
    </xf>
    <xf numFmtId="176" fontId="23" fillId="0" borderId="18" xfId="1" applyNumberFormat="1" applyFont="1" applyFill="1" applyBorder="1" applyAlignment="1">
      <alignment vertical="center"/>
    </xf>
    <xf numFmtId="0" fontId="23" fillId="0" borderId="0" xfId="1" applyFont="1" applyFill="1">
      <alignment vertical="center"/>
    </xf>
    <xf numFmtId="0" fontId="21" fillId="2" borderId="0" xfId="1" applyFont="1" applyFill="1">
      <alignment vertical="center"/>
    </xf>
    <xf numFmtId="49" fontId="18" fillId="2" borderId="21" xfId="0" applyNumberFormat="1" applyFont="1" applyFill="1" applyBorder="1" applyAlignment="1">
      <alignment horizontal="center" vertical="center" wrapText="1"/>
    </xf>
    <xf numFmtId="49" fontId="18" fillId="2" borderId="18" xfId="0" applyNumberFormat="1" applyFont="1" applyFill="1" applyBorder="1" applyAlignment="1">
      <alignment horizontal="center" vertical="center" wrapText="1"/>
    </xf>
    <xf numFmtId="49" fontId="18" fillId="2" borderId="19" xfId="0" applyNumberFormat="1" applyFont="1" applyFill="1" applyBorder="1" applyAlignment="1">
      <alignment horizontal="left" vertical="center" wrapText="1"/>
    </xf>
    <xf numFmtId="176" fontId="18" fillId="2" borderId="18" xfId="0" applyNumberFormat="1" applyFont="1" applyFill="1" applyBorder="1" applyAlignment="1">
      <alignment horizontal="right" vertical="center"/>
    </xf>
    <xf numFmtId="0" fontId="18" fillId="2" borderId="0" xfId="1" applyFont="1" applyFill="1" applyAlignment="1">
      <alignment horizontal="left" vertical="center"/>
    </xf>
    <xf numFmtId="49" fontId="18" fillId="0" borderId="21" xfId="1" applyNumberFormat="1" applyFont="1" applyFill="1" applyBorder="1" applyAlignment="1">
      <alignment horizontal="center" vertical="center" wrapText="1"/>
    </xf>
    <xf numFmtId="49" fontId="18" fillId="0" borderId="18" xfId="1" applyNumberFormat="1" applyFont="1" applyFill="1" applyBorder="1" applyAlignment="1">
      <alignment horizontal="center" vertical="center" wrapText="1"/>
    </xf>
    <xf numFmtId="49" fontId="18" fillId="0" borderId="19" xfId="1" applyNumberFormat="1" applyFont="1" applyFill="1" applyBorder="1" applyAlignment="1">
      <alignment horizontal="left" vertical="center" wrapText="1"/>
    </xf>
    <xf numFmtId="49" fontId="18" fillId="0" borderId="20" xfId="1" applyNumberFormat="1" applyFont="1" applyFill="1" applyBorder="1" applyAlignment="1">
      <alignment horizontal="left" vertical="center"/>
    </xf>
    <xf numFmtId="49" fontId="18" fillId="0" borderId="19" xfId="1" applyNumberFormat="1" applyFont="1" applyFill="1" applyBorder="1" applyAlignment="1">
      <alignment horizontal="left" vertical="center"/>
    </xf>
    <xf numFmtId="49" fontId="18" fillId="0" borderId="19" xfId="1" applyNumberFormat="1" applyFont="1" applyFill="1" applyBorder="1" applyAlignment="1">
      <alignment horizontal="right" vertical="center"/>
    </xf>
    <xf numFmtId="176" fontId="18" fillId="0" borderId="18" xfId="1" applyNumberFormat="1" applyFont="1" applyFill="1" applyBorder="1" applyAlignment="1">
      <alignment horizontal="right" vertical="center"/>
    </xf>
    <xf numFmtId="49" fontId="20" fillId="2" borderId="0" xfId="1" applyNumberFormat="1" applyFont="1" applyFill="1" applyBorder="1" applyAlignment="1">
      <alignment horizontal="left" vertical="center" wrapText="1"/>
    </xf>
    <xf numFmtId="49" fontId="23" fillId="0" borderId="9" xfId="1" applyNumberFormat="1" applyFont="1" applyFill="1" applyBorder="1" applyAlignment="1">
      <alignment horizontal="center" vertical="center" wrapText="1"/>
    </xf>
    <xf numFmtId="49" fontId="18" fillId="2" borderId="24" xfId="0" applyNumberFormat="1" applyFont="1" applyFill="1" applyBorder="1" applyAlignment="1">
      <alignment horizontal="left" vertical="center" wrapText="1"/>
    </xf>
    <xf numFmtId="49" fontId="23" fillId="0" borderId="10" xfId="1" applyNumberFormat="1" applyFont="1" applyFill="1" applyBorder="1" applyAlignment="1">
      <alignment horizontal="center" vertical="center" wrapText="1"/>
    </xf>
    <xf numFmtId="49" fontId="23" fillId="0" borderId="10" xfId="1" applyNumberFormat="1" applyFont="1" applyFill="1" applyBorder="1" applyAlignment="1">
      <alignment horizontal="left" vertical="center" wrapText="1"/>
    </xf>
    <xf numFmtId="49" fontId="18" fillId="0" borderId="0" xfId="1" applyNumberFormat="1" applyFont="1" applyFill="1" applyBorder="1" applyAlignment="1">
      <alignment vertical="center"/>
    </xf>
    <xf numFmtId="49" fontId="18" fillId="0" borderId="13" xfId="1" applyNumberFormat="1" applyFont="1" applyFill="1" applyBorder="1" applyAlignment="1">
      <alignment vertical="center"/>
    </xf>
    <xf numFmtId="49" fontId="18" fillId="2" borderId="0" xfId="1" applyNumberFormat="1" applyFont="1" applyFill="1" applyBorder="1" applyAlignment="1">
      <alignment horizontal="right" vertical="center" wrapText="1"/>
    </xf>
    <xf numFmtId="0" fontId="0" fillId="2" borderId="0" xfId="0" applyFill="1">
      <alignment vertical="center"/>
    </xf>
    <xf numFmtId="0" fontId="24" fillId="2" borderId="0" xfId="0" applyFont="1" applyFill="1" applyAlignment="1">
      <alignment horizontal="center" vertical="center"/>
    </xf>
    <xf numFmtId="0" fontId="24" fillId="2" borderId="28" xfId="0" applyFont="1" applyFill="1" applyBorder="1" applyAlignment="1">
      <alignment horizontal="center" vertical="center"/>
    </xf>
    <xf numFmtId="0" fontId="0" fillId="2" borderId="28" xfId="0" applyFill="1" applyBorder="1">
      <alignment vertical="center"/>
    </xf>
    <xf numFmtId="0" fontId="24" fillId="7" borderId="28" xfId="0" applyFont="1" applyFill="1" applyBorder="1" applyAlignment="1">
      <alignment horizontal="center" vertical="center"/>
    </xf>
    <xf numFmtId="179" fontId="0" fillId="2" borderId="28" xfId="0" applyNumberFormat="1" applyFill="1" applyBorder="1">
      <alignment vertical="center"/>
    </xf>
    <xf numFmtId="179" fontId="24" fillId="2" borderId="28" xfId="0" applyNumberFormat="1" applyFont="1" applyFill="1" applyBorder="1">
      <alignment vertical="center"/>
    </xf>
    <xf numFmtId="0" fontId="0" fillId="2" borderId="0" xfId="0" applyFill="1" applyAlignment="1">
      <alignment horizontal="right" vertical="center"/>
    </xf>
    <xf numFmtId="49" fontId="19" fillId="0" borderId="0" xfId="1" applyNumberFormat="1" applyFont="1" applyFill="1" applyBorder="1" applyAlignment="1">
      <alignment horizontal="left" vertical="center" wrapText="1"/>
    </xf>
    <xf numFmtId="49" fontId="19" fillId="0" borderId="0" xfId="1" applyNumberFormat="1" applyFont="1" applyFill="1" applyBorder="1" applyAlignment="1">
      <alignment horizontal="right" vertical="center" wrapText="1"/>
    </xf>
    <xf numFmtId="49" fontId="20" fillId="0" borderId="0" xfId="1" applyNumberFormat="1" applyFont="1" applyFill="1" applyBorder="1" applyAlignment="1">
      <alignment horizontal="left" vertical="center" wrapText="1"/>
    </xf>
    <xf numFmtId="49" fontId="18" fillId="0" borderId="0" xfId="1" applyNumberFormat="1" applyFont="1" applyFill="1" applyBorder="1" applyAlignment="1">
      <alignment horizontal="left" vertical="center" wrapText="1"/>
    </xf>
    <xf numFmtId="49" fontId="20" fillId="2" borderId="0" xfId="0" applyNumberFormat="1" applyFont="1" applyFill="1" applyBorder="1" applyAlignment="1">
      <alignment horizontal="left" vertical="center" wrapText="1"/>
    </xf>
    <xf numFmtId="49" fontId="19" fillId="2" borderId="0" xfId="1" applyNumberFormat="1" applyFont="1" applyFill="1" applyBorder="1" applyAlignment="1">
      <alignment horizontal="right" vertical="center" wrapText="1"/>
    </xf>
    <xf numFmtId="179" fontId="0" fillId="2" borderId="0" xfId="0" applyNumberFormat="1" applyFill="1">
      <alignment vertical="center"/>
    </xf>
    <xf numFmtId="41" fontId="21" fillId="0" borderId="0" xfId="4" quotePrefix="1" applyFont="1">
      <alignment vertical="center"/>
    </xf>
    <xf numFmtId="176" fontId="26" fillId="7" borderId="8" xfId="1" applyNumberFormat="1" applyFont="1" applyFill="1" applyBorder="1" applyAlignment="1">
      <alignment horizontal="right" vertical="center"/>
    </xf>
    <xf numFmtId="176" fontId="27" fillId="2" borderId="8" xfId="1" applyNumberFormat="1" applyFont="1" applyFill="1" applyBorder="1" applyAlignment="1">
      <alignment horizontal="right" vertical="center"/>
    </xf>
    <xf numFmtId="49" fontId="17" fillId="2" borderId="0" xfId="1" applyNumberFormat="1" applyFont="1" applyFill="1" applyBorder="1" applyAlignment="1">
      <alignment vertical="center" wrapText="1"/>
    </xf>
    <xf numFmtId="49" fontId="18" fillId="2" borderId="0" xfId="1" applyNumberFormat="1" applyFont="1" applyFill="1" applyBorder="1" applyAlignment="1">
      <alignment vertical="center" wrapText="1"/>
    </xf>
    <xf numFmtId="49" fontId="20" fillId="0" borderId="0" xfId="1" applyNumberFormat="1" applyFont="1" applyFill="1" applyBorder="1" applyAlignment="1">
      <alignment vertical="center" wrapText="1"/>
    </xf>
    <xf numFmtId="49" fontId="19" fillId="0" borderId="0" xfId="1" applyNumberFormat="1" applyFont="1" applyFill="1" applyBorder="1" applyAlignment="1">
      <alignment vertical="center" wrapText="1"/>
    </xf>
    <xf numFmtId="176" fontId="17" fillId="7" borderId="8" xfId="1" applyNumberFormat="1" applyFont="1" applyFill="1" applyBorder="1" applyAlignment="1">
      <alignment vertical="center"/>
    </xf>
    <xf numFmtId="176" fontId="18" fillId="2" borderId="12" xfId="0" applyNumberFormat="1" applyFont="1" applyFill="1" applyBorder="1" applyAlignment="1">
      <alignment vertical="center"/>
    </xf>
    <xf numFmtId="49" fontId="23" fillId="0" borderId="0" xfId="1" applyNumberFormat="1" applyFont="1" applyFill="1" applyBorder="1" applyAlignment="1">
      <alignment horizontal="left" vertical="center" wrapText="1"/>
    </xf>
    <xf numFmtId="0" fontId="21" fillId="2" borderId="0" xfId="1" applyFont="1" applyFill="1" applyAlignment="1">
      <alignment vertical="center"/>
    </xf>
    <xf numFmtId="0" fontId="21" fillId="0" borderId="0" xfId="1" applyFont="1" applyAlignment="1">
      <alignment vertical="center"/>
    </xf>
    <xf numFmtId="176" fontId="30" fillId="2" borderId="8" xfId="1" applyNumberFormat="1" applyFont="1" applyFill="1" applyBorder="1" applyAlignment="1">
      <alignment vertical="center"/>
    </xf>
    <xf numFmtId="176" fontId="28" fillId="2" borderId="12" xfId="0" applyNumberFormat="1" applyFont="1" applyFill="1" applyBorder="1" applyAlignment="1">
      <alignment horizontal="right" vertical="center"/>
    </xf>
    <xf numFmtId="176" fontId="17" fillId="7" borderId="8" xfId="1" applyNumberFormat="1" applyFont="1" applyFill="1" applyBorder="1" applyAlignment="1">
      <alignment horizontal="right" vertical="center" shrinkToFit="1"/>
    </xf>
    <xf numFmtId="176" fontId="18" fillId="2" borderId="9" xfId="1" applyNumberFormat="1" applyFont="1" applyFill="1" applyBorder="1" applyAlignment="1">
      <alignment vertical="center"/>
    </xf>
    <xf numFmtId="176" fontId="18" fillId="0" borderId="9" xfId="1" applyNumberFormat="1" applyFont="1" applyFill="1" applyBorder="1" applyAlignment="1">
      <alignment vertical="center"/>
    </xf>
    <xf numFmtId="49" fontId="18" fillId="0" borderId="9" xfId="1" applyNumberFormat="1" applyFont="1" applyFill="1" applyBorder="1" applyAlignment="1">
      <alignment horizontal="left" vertical="center" wrapText="1"/>
    </xf>
    <xf numFmtId="49" fontId="18" fillId="0" borderId="14" xfId="1" applyNumberFormat="1" applyFont="1" applyFill="1" applyBorder="1" applyAlignment="1">
      <alignment horizontal="center" vertical="center" wrapText="1"/>
    </xf>
    <xf numFmtId="49" fontId="18" fillId="0" borderId="14" xfId="1" applyNumberFormat="1" applyFont="1" applyFill="1" applyBorder="1" applyAlignment="1">
      <alignment horizontal="left" vertical="center" wrapText="1"/>
    </xf>
    <xf numFmtId="176" fontId="17" fillId="7" borderId="13" xfId="1" applyNumberFormat="1" applyFont="1" applyFill="1" applyBorder="1" applyAlignment="1">
      <alignment horizontal="right" vertical="center"/>
    </xf>
    <xf numFmtId="176" fontId="18" fillId="2" borderId="0" xfId="1" applyNumberFormat="1" applyFont="1" applyFill="1" applyBorder="1" applyAlignment="1">
      <alignment vertical="center"/>
    </xf>
    <xf numFmtId="176" fontId="18" fillId="2" borderId="13" xfId="1" applyNumberFormat="1" applyFont="1" applyFill="1" applyBorder="1" applyAlignment="1">
      <alignment vertical="center"/>
    </xf>
    <xf numFmtId="176" fontId="18" fillId="2" borderId="13" xfId="0" applyNumberFormat="1" applyFont="1" applyFill="1" applyBorder="1" applyAlignment="1">
      <alignment horizontal="right" vertical="center"/>
    </xf>
    <xf numFmtId="176" fontId="18" fillId="2" borderId="0" xfId="0" applyNumberFormat="1" applyFont="1" applyFill="1" applyBorder="1" applyAlignment="1">
      <alignment horizontal="right" vertical="center"/>
    </xf>
    <xf numFmtId="0" fontId="18" fillId="2" borderId="0" xfId="1" applyFont="1" applyFill="1" applyBorder="1">
      <alignment vertical="center"/>
    </xf>
    <xf numFmtId="0" fontId="21" fillId="2" borderId="0" xfId="1" applyFont="1" applyFill="1" applyBorder="1">
      <alignment vertical="center"/>
    </xf>
    <xf numFmtId="49" fontId="17" fillId="3" borderId="0" xfId="1" applyNumberFormat="1" applyFont="1" applyFill="1" applyBorder="1" applyAlignment="1">
      <alignment horizontal="center" vertical="center" wrapText="1"/>
    </xf>
    <xf numFmtId="176" fontId="17" fillId="2" borderId="13" xfId="1" applyNumberFormat="1" applyFont="1" applyFill="1" applyBorder="1" applyAlignment="1">
      <alignment horizontal="right" vertical="center"/>
    </xf>
    <xf numFmtId="176" fontId="28" fillId="2" borderId="9" xfId="1" applyNumberFormat="1" applyFont="1" applyFill="1" applyBorder="1" applyAlignment="1">
      <alignment vertical="center"/>
    </xf>
    <xf numFmtId="176" fontId="29" fillId="2" borderId="21" xfId="1" applyNumberFormat="1" applyFont="1" applyFill="1" applyBorder="1" applyAlignment="1">
      <alignment vertical="center"/>
    </xf>
    <xf numFmtId="176" fontId="28" fillId="2" borderId="9" xfId="1" applyNumberFormat="1" applyFont="1" applyFill="1" applyBorder="1" applyAlignment="1">
      <alignment vertical="center" shrinkToFit="1"/>
    </xf>
    <xf numFmtId="176" fontId="31" fillId="2" borderId="9" xfId="1" applyNumberFormat="1" applyFont="1" applyFill="1" applyBorder="1" applyAlignment="1">
      <alignment vertical="center"/>
    </xf>
    <xf numFmtId="176" fontId="18" fillId="2" borderId="9" xfId="0" applyNumberFormat="1" applyFont="1" applyFill="1" applyBorder="1" applyAlignment="1">
      <alignment horizontal="right" vertical="center"/>
    </xf>
    <xf numFmtId="176" fontId="18" fillId="2" borderId="21" xfId="0" applyNumberFormat="1" applyFont="1" applyFill="1" applyBorder="1" applyAlignment="1">
      <alignment horizontal="right" vertical="center"/>
    </xf>
    <xf numFmtId="49" fontId="20" fillId="2" borderId="0" xfId="0" applyNumberFormat="1" applyFont="1" applyFill="1" applyBorder="1" applyAlignment="1">
      <alignment vertical="center" wrapText="1"/>
    </xf>
    <xf numFmtId="176" fontId="18" fillId="2" borderId="3" xfId="1" applyNumberFormat="1" applyFont="1" applyFill="1" applyBorder="1" applyAlignment="1">
      <alignment vertical="center"/>
    </xf>
    <xf numFmtId="49" fontId="18" fillId="0" borderId="37" xfId="1" applyNumberFormat="1" applyFont="1" applyFill="1" applyBorder="1" applyAlignment="1">
      <alignment horizontal="center" vertical="center" wrapText="1"/>
    </xf>
    <xf numFmtId="176" fontId="18" fillId="2" borderId="8" xfId="1" applyNumberFormat="1" applyFont="1" applyFill="1" applyBorder="1" applyAlignment="1">
      <alignment vertical="center"/>
    </xf>
    <xf numFmtId="49" fontId="18" fillId="2" borderId="37" xfId="0" applyNumberFormat="1" applyFont="1" applyFill="1" applyBorder="1" applyAlignment="1">
      <alignment horizontal="center" vertical="center" wrapText="1"/>
    </xf>
    <xf numFmtId="0" fontId="18" fillId="0" borderId="24" xfId="1" applyFont="1" applyBorder="1">
      <alignment vertical="center"/>
    </xf>
    <xf numFmtId="0" fontId="18" fillId="0" borderId="37" xfId="1" applyFont="1" applyBorder="1">
      <alignment vertical="center"/>
    </xf>
    <xf numFmtId="0" fontId="18" fillId="0" borderId="38" xfId="1" applyFont="1" applyBorder="1">
      <alignment vertical="center"/>
    </xf>
    <xf numFmtId="0" fontId="18" fillId="0" borderId="39" xfId="1" applyFont="1" applyBorder="1">
      <alignment vertical="center"/>
    </xf>
    <xf numFmtId="0" fontId="18" fillId="0" borderId="19" xfId="1" applyFont="1" applyBorder="1">
      <alignment vertical="center"/>
    </xf>
    <xf numFmtId="49" fontId="18" fillId="2" borderId="13" xfId="0" applyNumberFormat="1" applyFont="1" applyFill="1" applyBorder="1" applyAlignment="1">
      <alignment horizontal="left" vertical="center" wrapText="1"/>
    </xf>
    <xf numFmtId="49" fontId="18" fillId="2" borderId="0" xfId="0" applyNumberFormat="1" applyFont="1" applyFill="1" applyBorder="1" applyAlignment="1">
      <alignment horizontal="left" vertical="center" wrapText="1"/>
    </xf>
    <xf numFmtId="49" fontId="18" fillId="0" borderId="0" xfId="1" applyNumberFormat="1" applyFont="1" applyFill="1" applyBorder="1" applyAlignment="1">
      <alignment horizontal="left" vertical="center" wrapText="1"/>
    </xf>
    <xf numFmtId="49" fontId="18" fillId="0" borderId="0" xfId="1" applyNumberFormat="1" applyFont="1" applyFill="1" applyBorder="1" applyAlignment="1">
      <alignment horizontal="right" vertical="center"/>
    </xf>
    <xf numFmtId="49" fontId="18" fillId="0" borderId="13" xfId="1" applyNumberFormat="1" applyFont="1" applyFill="1" applyBorder="1" applyAlignment="1">
      <alignment horizontal="left" vertical="center"/>
    </xf>
    <xf numFmtId="49" fontId="18" fillId="0" borderId="0" xfId="1" applyNumberFormat="1" applyFont="1" applyFill="1" applyBorder="1" applyAlignment="1">
      <alignment horizontal="left" vertical="center"/>
    </xf>
    <xf numFmtId="49" fontId="18" fillId="2" borderId="10" xfId="0" applyNumberFormat="1" applyFont="1" applyFill="1" applyBorder="1" applyAlignment="1">
      <alignment horizontal="left" vertical="center" wrapText="1"/>
    </xf>
    <xf numFmtId="49" fontId="18" fillId="0" borderId="13" xfId="1" applyNumberFormat="1" applyFont="1" applyFill="1" applyBorder="1" applyAlignment="1">
      <alignment horizontal="right" vertical="center"/>
    </xf>
    <xf numFmtId="0" fontId="32" fillId="0" borderId="0" xfId="0" applyFont="1" applyBorder="1" applyAlignment="1">
      <alignment horizontal="right" vertical="center"/>
    </xf>
    <xf numFmtId="49" fontId="20" fillId="2" borderId="0" xfId="0" applyNumberFormat="1" applyFont="1" applyFill="1" applyBorder="1" applyAlignment="1">
      <alignment horizontal="left" vertical="center" wrapText="1"/>
    </xf>
    <xf numFmtId="176" fontId="18" fillId="2" borderId="10" xfId="1" applyNumberFormat="1" applyFont="1" applyFill="1" applyBorder="1" applyAlignment="1">
      <alignment horizontal="right" vertical="center"/>
    </xf>
    <xf numFmtId="49" fontId="33" fillId="0" borderId="0" xfId="1" applyNumberFormat="1" applyFont="1" applyFill="1" applyBorder="1" applyAlignment="1">
      <alignment vertical="center" wrapText="1"/>
    </xf>
    <xf numFmtId="176" fontId="33" fillId="2" borderId="8" xfId="1" applyNumberFormat="1" applyFont="1" applyFill="1" applyBorder="1" applyAlignment="1">
      <alignment vertical="center"/>
    </xf>
    <xf numFmtId="0" fontId="34" fillId="2" borderId="0" xfId="1" applyFont="1" applyFill="1">
      <alignment vertical="center"/>
    </xf>
    <xf numFmtId="0" fontId="34" fillId="0" borderId="0" xfId="1" applyFont="1">
      <alignment vertical="center"/>
    </xf>
    <xf numFmtId="49" fontId="20" fillId="2" borderId="0" xfId="1" applyNumberFormat="1" applyFont="1" applyFill="1" applyBorder="1" applyAlignment="1">
      <alignment vertical="center" wrapText="1"/>
    </xf>
    <xf numFmtId="49" fontId="17" fillId="6" borderId="13" xfId="1" applyNumberFormat="1" applyFont="1" applyFill="1" applyBorder="1" applyAlignment="1">
      <alignment horizontal="center" vertical="center" wrapText="1"/>
    </xf>
    <xf numFmtId="176" fontId="36" fillId="7" borderId="42" xfId="1" applyNumberFormat="1" applyFont="1" applyFill="1" applyBorder="1" applyAlignment="1">
      <alignment horizontal="right" vertical="center"/>
    </xf>
    <xf numFmtId="176" fontId="28" fillId="2" borderId="42" xfId="1" applyNumberFormat="1" applyFont="1" applyFill="1" applyBorder="1" applyAlignment="1">
      <alignment vertical="center"/>
    </xf>
    <xf numFmtId="176" fontId="28" fillId="2" borderId="43" xfId="0" applyNumberFormat="1" applyFont="1" applyFill="1" applyBorder="1" applyAlignment="1">
      <alignment horizontal="right" vertical="center"/>
    </xf>
    <xf numFmtId="176" fontId="28" fillId="2" borderId="17" xfId="1" applyNumberFormat="1" applyFont="1" applyFill="1" applyBorder="1" applyAlignment="1">
      <alignment vertical="center"/>
    </xf>
    <xf numFmtId="176" fontId="18" fillId="0" borderId="13" xfId="1" applyNumberFormat="1" applyFont="1" applyFill="1" applyBorder="1" applyAlignment="1">
      <alignment vertical="center"/>
    </xf>
    <xf numFmtId="176" fontId="28" fillId="0" borderId="17" xfId="1" applyNumberFormat="1" applyFont="1" applyFill="1" applyBorder="1" applyAlignment="1">
      <alignment vertical="center"/>
    </xf>
    <xf numFmtId="49" fontId="37" fillId="0" borderId="24" xfId="1" applyNumberFormat="1" applyFont="1" applyFill="1" applyBorder="1" applyAlignment="1">
      <alignment horizontal="center" vertical="center" wrapText="1"/>
    </xf>
    <xf numFmtId="176" fontId="37" fillId="0" borderId="10" xfId="1" applyNumberFormat="1" applyFont="1" applyFill="1" applyBorder="1" applyAlignment="1">
      <alignment horizontal="right" vertical="center"/>
    </xf>
    <xf numFmtId="0" fontId="38" fillId="0" borderId="0" xfId="1" applyFont="1">
      <alignment vertical="center"/>
    </xf>
    <xf numFmtId="0" fontId="37" fillId="0" borderId="24" xfId="1" applyFont="1" applyBorder="1">
      <alignment vertical="center"/>
    </xf>
    <xf numFmtId="0" fontId="37" fillId="0" borderId="37" xfId="1" applyFont="1" applyBorder="1">
      <alignment vertical="center"/>
    </xf>
    <xf numFmtId="176" fontId="18" fillId="0" borderId="17" xfId="1" applyNumberFormat="1" applyFont="1" applyFill="1" applyBorder="1" applyAlignment="1">
      <alignment horizontal="right" vertical="center"/>
    </xf>
    <xf numFmtId="176" fontId="27" fillId="2" borderId="12" xfId="0" applyNumberFormat="1" applyFont="1" applyFill="1" applyBorder="1" applyAlignment="1">
      <alignment horizontal="right" vertical="center"/>
    </xf>
    <xf numFmtId="176" fontId="27" fillId="2" borderId="9" xfId="0" applyNumberFormat="1" applyFont="1" applyFill="1" applyBorder="1" applyAlignment="1">
      <alignment horizontal="right" vertical="center"/>
    </xf>
    <xf numFmtId="49" fontId="18" fillId="2" borderId="14" xfId="0" applyNumberFormat="1" applyFont="1" applyFill="1" applyBorder="1" applyAlignment="1">
      <alignment horizontal="center" vertical="center" wrapText="1"/>
    </xf>
    <xf numFmtId="49" fontId="18" fillId="2" borderId="7" xfId="0" applyNumberFormat="1" applyFont="1" applyFill="1" applyBorder="1" applyAlignment="1">
      <alignment horizontal="center" vertical="center" wrapText="1"/>
    </xf>
    <xf numFmtId="49" fontId="18" fillId="2" borderId="6" xfId="0" applyNumberFormat="1" applyFont="1" applyFill="1" applyBorder="1" applyAlignment="1">
      <alignment horizontal="left" vertical="center" wrapText="1"/>
    </xf>
    <xf numFmtId="176" fontId="18" fillId="2" borderId="7" xfId="0" applyNumberFormat="1" applyFont="1" applyFill="1" applyBorder="1" applyAlignment="1">
      <alignment horizontal="right" vertical="center"/>
    </xf>
    <xf numFmtId="176" fontId="27" fillId="2" borderId="14" xfId="0" applyNumberFormat="1" applyFont="1" applyFill="1" applyBorder="1" applyAlignment="1">
      <alignment horizontal="right" vertical="center"/>
    </xf>
    <xf numFmtId="0" fontId="37" fillId="2" borderId="0" xfId="1" applyFont="1" applyFill="1">
      <alignment vertical="center"/>
    </xf>
    <xf numFmtId="176" fontId="27" fillId="2" borderId="9" xfId="1" applyNumberFormat="1" applyFont="1" applyFill="1" applyBorder="1" applyAlignment="1">
      <alignment vertical="center"/>
    </xf>
    <xf numFmtId="176" fontId="27" fillId="2" borderId="29" xfId="1" applyNumberFormat="1" applyFont="1" applyFill="1" applyBorder="1" applyAlignment="1">
      <alignment vertical="center"/>
    </xf>
    <xf numFmtId="176" fontId="27" fillId="2" borderId="30" xfId="1" applyNumberFormat="1" applyFont="1" applyFill="1" applyBorder="1" applyAlignment="1">
      <alignment vertical="center"/>
    </xf>
    <xf numFmtId="176" fontId="27" fillId="2" borderId="8" xfId="1" applyNumberFormat="1" applyFont="1" applyFill="1" applyBorder="1" applyAlignment="1">
      <alignment vertical="center"/>
    </xf>
    <xf numFmtId="49" fontId="18" fillId="0" borderId="0" xfId="1" applyNumberFormat="1" applyFont="1" applyFill="1" applyBorder="1" applyAlignment="1">
      <alignment horizontal="left" vertical="center" wrapText="1"/>
    </xf>
    <xf numFmtId="49" fontId="18" fillId="0" borderId="13" xfId="1" applyNumberFormat="1" applyFont="1" applyFill="1" applyBorder="1" applyAlignment="1">
      <alignment horizontal="left" vertical="center"/>
    </xf>
    <xf numFmtId="49" fontId="18" fillId="0" borderId="0" xfId="1" applyNumberFormat="1" applyFont="1" applyFill="1" applyBorder="1" applyAlignment="1">
      <alignment horizontal="left" vertical="center"/>
    </xf>
    <xf numFmtId="49" fontId="18" fillId="0" borderId="0" xfId="1" applyNumberFormat="1" applyFont="1" applyFill="1" applyBorder="1" applyAlignment="1">
      <alignment horizontal="right" vertical="center"/>
    </xf>
    <xf numFmtId="49" fontId="18" fillId="0" borderId="13" xfId="1" applyNumberFormat="1" applyFont="1" applyFill="1" applyBorder="1" applyAlignment="1">
      <alignment horizontal="right" vertical="center"/>
    </xf>
    <xf numFmtId="0" fontId="32" fillId="0" borderId="0" xfId="0" applyFont="1" applyBorder="1" applyAlignment="1">
      <alignment horizontal="right" vertical="center"/>
    </xf>
    <xf numFmtId="49" fontId="20" fillId="2" borderId="0" xfId="0" applyNumberFormat="1" applyFont="1" applyFill="1" applyBorder="1" applyAlignment="1">
      <alignment horizontal="left" vertical="center" wrapText="1"/>
    </xf>
    <xf numFmtId="49" fontId="18" fillId="2" borderId="0" xfId="1" applyNumberFormat="1" applyFont="1" applyFill="1" applyBorder="1" applyAlignment="1">
      <alignment horizontal="right" vertical="center" wrapText="1"/>
    </xf>
    <xf numFmtId="176" fontId="39" fillId="0" borderId="10" xfId="1" applyNumberFormat="1" applyFont="1" applyFill="1" applyBorder="1" applyAlignment="1">
      <alignment horizontal="right" vertical="center"/>
    </xf>
    <xf numFmtId="176" fontId="39" fillId="2" borderId="10" xfId="1" applyNumberFormat="1" applyFont="1" applyFill="1" applyBorder="1" applyAlignment="1">
      <alignment horizontal="right" vertical="center"/>
    </xf>
    <xf numFmtId="49" fontId="18" fillId="0" borderId="24" xfId="1" applyNumberFormat="1" applyFont="1" applyFill="1" applyBorder="1" applyAlignment="1">
      <alignment horizontal="center" vertical="center" wrapText="1"/>
    </xf>
    <xf numFmtId="49" fontId="18" fillId="0" borderId="37" xfId="1" applyNumberFormat="1" applyFont="1" applyFill="1" applyBorder="1" applyAlignment="1">
      <alignment horizontal="left" vertical="center" wrapText="1"/>
    </xf>
    <xf numFmtId="176" fontId="39" fillId="2" borderId="10" xfId="0" applyNumberFormat="1" applyFont="1" applyFill="1" applyBorder="1" applyAlignment="1">
      <alignment horizontal="right" vertical="center"/>
    </xf>
    <xf numFmtId="49" fontId="17" fillId="2" borderId="0" xfId="1" applyNumberFormat="1" applyFont="1" applyFill="1" applyBorder="1" applyAlignment="1">
      <alignment horizontal="left" vertical="center" wrapText="1"/>
    </xf>
    <xf numFmtId="49" fontId="17" fillId="6" borderId="4" xfId="1" applyNumberFormat="1" applyFont="1" applyFill="1" applyBorder="1" applyAlignment="1">
      <alignment horizontal="center" vertical="center" wrapText="1"/>
    </xf>
    <xf numFmtId="49" fontId="17" fillId="6" borderId="7" xfId="1" applyNumberFormat="1" applyFont="1" applyFill="1" applyBorder="1" applyAlignment="1">
      <alignment horizontal="center" vertical="center" wrapText="1"/>
    </xf>
    <xf numFmtId="49" fontId="18" fillId="2" borderId="0" xfId="1" applyNumberFormat="1" applyFont="1" applyFill="1" applyBorder="1" applyAlignment="1">
      <alignment horizontal="right" vertical="center" wrapText="1"/>
    </xf>
    <xf numFmtId="49" fontId="20" fillId="2" borderId="0" xfId="1" applyNumberFormat="1" applyFont="1" applyFill="1" applyBorder="1" applyAlignment="1">
      <alignment horizontal="left" vertical="center" wrapText="1"/>
    </xf>
    <xf numFmtId="49" fontId="20" fillId="2" borderId="0" xfId="0" applyNumberFormat="1" applyFont="1" applyFill="1" applyBorder="1" applyAlignment="1">
      <alignment horizontal="left" vertical="center" wrapText="1"/>
    </xf>
    <xf numFmtId="41" fontId="24" fillId="2" borderId="28" xfId="4" applyFont="1" applyFill="1" applyBorder="1" applyAlignment="1">
      <alignment horizontal="right" vertical="center" shrinkToFit="1"/>
    </xf>
    <xf numFmtId="41" fontId="0" fillId="2" borderId="28" xfId="4" applyFont="1" applyFill="1" applyBorder="1" applyAlignment="1">
      <alignment horizontal="right" vertical="center" shrinkToFit="1" readingOrder="1"/>
    </xf>
    <xf numFmtId="176" fontId="40" fillId="2" borderId="10" xfId="0" applyNumberFormat="1" applyFont="1" applyFill="1" applyBorder="1" applyAlignment="1">
      <alignment horizontal="right" vertical="center"/>
    </xf>
    <xf numFmtId="49" fontId="19" fillId="2" borderId="0" xfId="1" applyNumberFormat="1" applyFont="1" applyFill="1" applyBorder="1" applyAlignment="1">
      <alignment horizontal="right" wrapText="1"/>
    </xf>
    <xf numFmtId="49" fontId="18" fillId="2" borderId="0" xfId="1" applyNumberFormat="1" applyFont="1" applyFill="1" applyBorder="1" applyAlignment="1">
      <alignment wrapText="1"/>
    </xf>
    <xf numFmtId="0" fontId="18" fillId="2" borderId="0" xfId="1" applyFont="1" applyFill="1" applyAlignment="1"/>
    <xf numFmtId="49" fontId="19" fillId="0" borderId="0" xfId="1" applyNumberFormat="1" applyFont="1" applyFill="1" applyBorder="1" applyAlignment="1">
      <alignment wrapText="1"/>
    </xf>
    <xf numFmtId="0" fontId="21" fillId="0" borderId="0" xfId="1" applyFont="1" applyAlignment="1"/>
    <xf numFmtId="0" fontId="18" fillId="0" borderId="0" xfId="1" applyFont="1" applyAlignment="1"/>
    <xf numFmtId="49" fontId="18" fillId="0" borderId="0" xfId="1" applyNumberFormat="1" applyFont="1" applyFill="1" applyBorder="1" applyAlignment="1">
      <alignment horizontal="right" wrapText="1"/>
    </xf>
    <xf numFmtId="49" fontId="18" fillId="0" borderId="0" xfId="1" applyNumberFormat="1" applyFont="1" applyFill="1" applyBorder="1" applyAlignment="1">
      <alignment wrapText="1"/>
    </xf>
    <xf numFmtId="49" fontId="19" fillId="0" borderId="0" xfId="1" applyNumberFormat="1" applyFont="1" applyFill="1" applyBorder="1" applyAlignment="1">
      <alignment horizontal="right" wrapText="1"/>
    </xf>
    <xf numFmtId="49" fontId="33" fillId="0" borderId="0" xfId="1" applyNumberFormat="1" applyFont="1" applyFill="1" applyBorder="1" applyAlignment="1">
      <alignment wrapText="1"/>
    </xf>
    <xf numFmtId="49" fontId="19" fillId="2" borderId="0" xfId="1" applyNumberFormat="1" applyFont="1" applyFill="1" applyBorder="1" applyAlignment="1">
      <alignment wrapText="1"/>
    </xf>
    <xf numFmtId="0" fontId="21" fillId="2" borderId="0" xfId="1" applyFont="1" applyFill="1" applyAlignment="1"/>
    <xf numFmtId="176" fontId="43" fillId="2" borderId="3" xfId="1" applyNumberFormat="1" applyFont="1" applyFill="1" applyBorder="1" applyAlignment="1">
      <alignment vertical="center"/>
    </xf>
    <xf numFmtId="49" fontId="43" fillId="0" borderId="9" xfId="1" applyNumberFormat="1" applyFont="1" applyFill="1" applyBorder="1" applyAlignment="1">
      <alignment horizontal="center" vertical="center" wrapText="1"/>
    </xf>
    <xf numFmtId="176" fontId="43" fillId="2" borderId="8" xfId="1" applyNumberFormat="1" applyFont="1" applyFill="1" applyBorder="1" applyAlignment="1">
      <alignment vertical="center"/>
    </xf>
    <xf numFmtId="49" fontId="43" fillId="0" borderId="10" xfId="1" applyNumberFormat="1" applyFont="1" applyFill="1" applyBorder="1" applyAlignment="1">
      <alignment horizontal="center" vertical="center" wrapText="1"/>
    </xf>
    <xf numFmtId="49" fontId="43" fillId="2" borderId="9" xfId="0" applyNumberFormat="1" applyFont="1" applyFill="1" applyBorder="1" applyAlignment="1">
      <alignment horizontal="center" vertical="center" wrapText="1"/>
    </xf>
    <xf numFmtId="49" fontId="43" fillId="2" borderId="10" xfId="0" applyNumberFormat="1" applyFont="1" applyFill="1" applyBorder="1" applyAlignment="1">
      <alignment horizontal="center" vertical="center" wrapText="1"/>
    </xf>
    <xf numFmtId="49" fontId="43" fillId="2" borderId="0" xfId="0" applyNumberFormat="1" applyFont="1" applyFill="1" applyBorder="1" applyAlignment="1">
      <alignment horizontal="center" vertical="center" wrapText="1"/>
    </xf>
    <xf numFmtId="49" fontId="43" fillId="2" borderId="25" xfId="0" applyNumberFormat="1" applyFont="1" applyFill="1" applyBorder="1" applyAlignment="1">
      <alignment horizontal="left" vertical="center" wrapText="1"/>
    </xf>
    <xf numFmtId="176" fontId="43" fillId="2" borderId="12" xfId="0" applyNumberFormat="1" applyFont="1" applyFill="1" applyBorder="1" applyAlignment="1">
      <alignment horizontal="right" vertical="center"/>
    </xf>
    <xf numFmtId="49" fontId="43" fillId="2" borderId="9" xfId="1" applyNumberFormat="1" applyFont="1" applyFill="1" applyBorder="1" applyAlignment="1">
      <alignment horizontal="center" vertical="center" wrapText="1"/>
    </xf>
    <xf numFmtId="49" fontId="43" fillId="2" borderId="10" xfId="1" applyNumberFormat="1" applyFont="1" applyFill="1" applyBorder="1" applyAlignment="1">
      <alignment horizontal="center" vertical="center" wrapText="1"/>
    </xf>
    <xf numFmtId="49" fontId="43" fillId="2" borderId="0" xfId="1" applyNumberFormat="1" applyFont="1" applyFill="1" applyBorder="1" applyAlignment="1">
      <alignment horizontal="left" vertical="center" wrapText="1"/>
    </xf>
    <xf numFmtId="49" fontId="43" fillId="2" borderId="0" xfId="1" applyNumberFormat="1" applyFont="1" applyFill="1" applyBorder="1" applyAlignment="1">
      <alignment horizontal="right" vertical="center" wrapText="1"/>
    </xf>
    <xf numFmtId="176" fontId="44" fillId="2" borderId="10" xfId="1" applyNumberFormat="1" applyFont="1" applyFill="1" applyBorder="1" applyAlignment="1">
      <alignment horizontal="right" vertical="center"/>
    </xf>
    <xf numFmtId="176" fontId="41" fillId="2" borderId="10" xfId="1" applyNumberFormat="1" applyFont="1" applyFill="1" applyBorder="1" applyAlignment="1">
      <alignment horizontal="right" vertical="center"/>
    </xf>
    <xf numFmtId="176" fontId="43" fillId="2" borderId="10" xfId="1" applyNumberFormat="1" applyFont="1" applyFill="1" applyBorder="1" applyAlignment="1">
      <alignment vertical="center"/>
    </xf>
    <xf numFmtId="176" fontId="43" fillId="2" borderId="10" xfId="1" applyNumberFormat="1" applyFont="1" applyFill="1" applyBorder="1" applyAlignment="1">
      <alignment horizontal="right" vertical="center"/>
    </xf>
    <xf numFmtId="49" fontId="43" fillId="2" borderId="13" xfId="1" applyNumberFormat="1" applyFont="1" applyFill="1" applyBorder="1" applyAlignment="1">
      <alignment horizontal="left" vertical="center"/>
    </xf>
    <xf numFmtId="49" fontId="43" fillId="2" borderId="0" xfId="1" applyNumberFormat="1" applyFont="1" applyFill="1" applyBorder="1" applyAlignment="1">
      <alignment horizontal="left" vertical="center"/>
    </xf>
    <xf numFmtId="49" fontId="43" fillId="2" borderId="13" xfId="1" applyNumberFormat="1" applyFont="1" applyFill="1" applyBorder="1" applyAlignment="1">
      <alignment vertical="center"/>
    </xf>
    <xf numFmtId="49" fontId="43" fillId="2" borderId="0" xfId="1" applyNumberFormat="1" applyFont="1" applyFill="1" applyBorder="1" applyAlignment="1">
      <alignment vertical="center"/>
    </xf>
    <xf numFmtId="49" fontId="43" fillId="2" borderId="0" xfId="1" applyNumberFormat="1" applyFont="1" applyFill="1" applyBorder="1" applyAlignment="1">
      <alignment horizontal="right" vertical="center"/>
    </xf>
    <xf numFmtId="49" fontId="43" fillId="2" borderId="10" xfId="1" applyNumberFormat="1" applyFont="1" applyFill="1" applyBorder="1" applyAlignment="1">
      <alignment vertical="center"/>
    </xf>
    <xf numFmtId="0" fontId="43" fillId="2" borderId="0" xfId="1" applyFont="1" applyFill="1" applyBorder="1">
      <alignment vertical="center"/>
    </xf>
    <xf numFmtId="0" fontId="43" fillId="2" borderId="17" xfId="1" applyFont="1" applyFill="1" applyBorder="1">
      <alignment vertical="center"/>
    </xf>
    <xf numFmtId="49" fontId="43" fillId="2" borderId="13" xfId="1" applyNumberFormat="1" applyFont="1" applyFill="1" applyBorder="1" applyAlignment="1">
      <alignment horizontal="right" vertical="center"/>
    </xf>
    <xf numFmtId="49" fontId="46" fillId="2" borderId="9" xfId="1" applyNumberFormat="1" applyFont="1" applyFill="1" applyBorder="1" applyAlignment="1">
      <alignment horizontal="center" vertical="center" wrapText="1"/>
    </xf>
    <xf numFmtId="49" fontId="46" fillId="2" borderId="10" xfId="1" applyNumberFormat="1" applyFont="1" applyFill="1" applyBorder="1" applyAlignment="1">
      <alignment horizontal="center" vertical="center" wrapText="1"/>
    </xf>
    <xf numFmtId="49" fontId="46" fillId="2" borderId="0" xfId="1" applyNumberFormat="1" applyFont="1" applyFill="1" applyBorder="1" applyAlignment="1">
      <alignment horizontal="left" vertical="center" wrapText="1"/>
    </xf>
    <xf numFmtId="49" fontId="43" fillId="2" borderId="9" xfId="1" applyNumberFormat="1" applyFont="1" applyFill="1" applyBorder="1" applyAlignment="1">
      <alignment horizontal="left" vertical="center" wrapText="1"/>
    </xf>
    <xf numFmtId="0" fontId="43" fillId="2" borderId="13" xfId="1" applyFont="1" applyFill="1" applyBorder="1">
      <alignment vertical="center"/>
    </xf>
    <xf numFmtId="49" fontId="43" fillId="2" borderId="0" xfId="1" applyNumberFormat="1" applyFont="1" applyFill="1" applyBorder="1" applyAlignment="1">
      <alignment vertical="center" wrapText="1"/>
    </xf>
    <xf numFmtId="0" fontId="45" fillId="2" borderId="0" xfId="0" applyFont="1" applyFill="1" applyBorder="1" applyAlignment="1">
      <alignment horizontal="right" vertical="center"/>
    </xf>
    <xf numFmtId="0" fontId="45" fillId="2" borderId="0" xfId="0" applyFont="1" applyFill="1" applyBorder="1" applyAlignment="1">
      <alignment vertical="center"/>
    </xf>
    <xf numFmtId="49" fontId="46" fillId="2" borderId="9" xfId="1" applyNumberFormat="1" applyFont="1" applyFill="1" applyBorder="1" applyAlignment="1">
      <alignment horizontal="left" vertical="center" wrapText="1"/>
    </xf>
    <xf numFmtId="0" fontId="45" fillId="2" borderId="13" xfId="0" applyFont="1" applyFill="1" applyBorder="1" applyAlignment="1">
      <alignment horizontal="right" vertical="center"/>
    </xf>
    <xf numFmtId="49" fontId="43" fillId="2" borderId="14" xfId="1" applyNumberFormat="1" applyFont="1" applyFill="1" applyBorder="1" applyAlignment="1">
      <alignment horizontal="center" vertical="center" wrapText="1"/>
    </xf>
    <xf numFmtId="49" fontId="43" fillId="2" borderId="7" xfId="1" applyNumberFormat="1" applyFont="1" applyFill="1" applyBorder="1" applyAlignment="1">
      <alignment horizontal="center" vertical="center" wrapText="1"/>
    </xf>
    <xf numFmtId="49" fontId="43" fillId="2" borderId="6" xfId="1" applyNumberFormat="1" applyFont="1" applyFill="1" applyBorder="1" applyAlignment="1">
      <alignment horizontal="left" vertical="center" wrapText="1"/>
    </xf>
    <xf numFmtId="176" fontId="43" fillId="2" borderId="7" xfId="1" applyNumberFormat="1" applyFont="1" applyFill="1" applyBorder="1" applyAlignment="1">
      <alignment horizontal="right" vertical="center"/>
    </xf>
    <xf numFmtId="176" fontId="48" fillId="2" borderId="10" xfId="1" applyNumberFormat="1" applyFont="1" applyFill="1" applyBorder="1" applyAlignment="1">
      <alignment horizontal="right" vertical="center"/>
    </xf>
    <xf numFmtId="176" fontId="48" fillId="2" borderId="10" xfId="1" applyNumberFormat="1" applyFont="1" applyFill="1" applyBorder="1" applyAlignment="1">
      <alignment vertical="center"/>
    </xf>
    <xf numFmtId="176" fontId="48" fillId="2" borderId="7" xfId="1" applyNumberFormat="1" applyFont="1" applyFill="1" applyBorder="1" applyAlignment="1">
      <alignment horizontal="right" vertical="center"/>
    </xf>
    <xf numFmtId="176" fontId="48" fillId="2" borderId="7" xfId="1" applyNumberFormat="1" applyFont="1" applyFill="1" applyBorder="1" applyAlignment="1">
      <alignment vertical="center"/>
    </xf>
    <xf numFmtId="176" fontId="48" fillId="2" borderId="21" xfId="1" applyNumberFormat="1" applyFont="1" applyFill="1" applyBorder="1" applyAlignment="1">
      <alignment vertical="center"/>
    </xf>
    <xf numFmtId="176" fontId="48" fillId="2" borderId="9" xfId="1" applyNumberFormat="1" applyFont="1" applyFill="1" applyBorder="1" applyAlignment="1">
      <alignment vertical="center"/>
    </xf>
    <xf numFmtId="0" fontId="48" fillId="2" borderId="9" xfId="1" applyFont="1" applyFill="1" applyBorder="1">
      <alignment vertical="center"/>
    </xf>
    <xf numFmtId="176" fontId="48" fillId="2" borderId="10" xfId="1" applyNumberFormat="1" applyFont="1" applyFill="1" applyBorder="1" applyAlignment="1">
      <alignment horizontal="center" vertical="center"/>
    </xf>
    <xf numFmtId="176" fontId="40" fillId="2" borderId="12" xfId="0" applyNumberFormat="1" applyFont="1" applyFill="1" applyBorder="1" applyAlignment="1">
      <alignment horizontal="right" vertical="center"/>
    </xf>
    <xf numFmtId="176" fontId="50" fillId="2" borderId="9" xfId="0" applyNumberFormat="1" applyFont="1" applyFill="1" applyBorder="1" applyAlignment="1">
      <alignment horizontal="left" vertical="center"/>
    </xf>
    <xf numFmtId="176" fontId="40" fillId="0" borderId="10" xfId="1" applyNumberFormat="1" applyFont="1" applyFill="1" applyBorder="1" applyAlignment="1">
      <alignment horizontal="right" vertical="center"/>
    </xf>
    <xf numFmtId="176" fontId="40" fillId="0" borderId="10" xfId="1" applyNumberFormat="1" applyFont="1" applyFill="1" applyBorder="1" applyAlignment="1">
      <alignment vertical="center"/>
    </xf>
    <xf numFmtId="176" fontId="40" fillId="2" borderId="0" xfId="0" applyNumberFormat="1" applyFont="1" applyFill="1" applyBorder="1" applyAlignment="1">
      <alignment horizontal="right" vertical="center"/>
    </xf>
    <xf numFmtId="176" fontId="51" fillId="2" borderId="9" xfId="1" applyNumberFormat="1" applyFont="1" applyFill="1" applyBorder="1" applyAlignment="1">
      <alignment vertical="center"/>
    </xf>
    <xf numFmtId="176" fontId="40" fillId="2" borderId="10" xfId="1" applyNumberFormat="1" applyFont="1" applyFill="1" applyBorder="1" applyAlignment="1">
      <alignment vertical="center"/>
    </xf>
    <xf numFmtId="176" fontId="40" fillId="2" borderId="10" xfId="1" applyNumberFormat="1" applyFont="1" applyFill="1" applyBorder="1" applyAlignment="1">
      <alignment horizontal="right" vertical="center"/>
    </xf>
    <xf numFmtId="176" fontId="51" fillId="2" borderId="9" xfId="1" applyNumberFormat="1" applyFont="1" applyFill="1" applyBorder="1" applyAlignment="1">
      <alignment vertical="center" shrinkToFit="1"/>
    </xf>
    <xf numFmtId="176" fontId="40" fillId="2" borderId="0" xfId="1" applyNumberFormat="1" applyFont="1" applyFill="1" applyBorder="1" applyAlignment="1">
      <alignment vertical="center"/>
    </xf>
    <xf numFmtId="176" fontId="40" fillId="0" borderId="9" xfId="1" applyNumberFormat="1" applyFont="1" applyFill="1" applyBorder="1" applyAlignment="1">
      <alignment vertical="center"/>
    </xf>
    <xf numFmtId="176" fontId="40" fillId="2" borderId="13" xfId="1" applyNumberFormat="1" applyFont="1" applyFill="1" applyBorder="1" applyAlignment="1">
      <alignment vertical="center"/>
    </xf>
    <xf numFmtId="176" fontId="40" fillId="2" borderId="13" xfId="0" applyNumberFormat="1" applyFont="1" applyFill="1" applyBorder="1" applyAlignment="1">
      <alignment horizontal="right" vertical="center"/>
    </xf>
    <xf numFmtId="176" fontId="40" fillId="0" borderId="18" xfId="1" applyNumberFormat="1" applyFont="1" applyFill="1" applyBorder="1" applyAlignment="1">
      <alignment vertical="center"/>
    </xf>
    <xf numFmtId="176" fontId="40" fillId="0" borderId="13" xfId="1" applyNumberFormat="1" applyFont="1" applyFill="1" applyBorder="1" applyAlignment="1">
      <alignment vertical="center"/>
    </xf>
    <xf numFmtId="176" fontId="51" fillId="2" borderId="17" xfId="1" applyNumberFormat="1" applyFont="1" applyFill="1" applyBorder="1" applyAlignment="1">
      <alignment vertical="center" wrapText="1"/>
    </xf>
    <xf numFmtId="176" fontId="51" fillId="2" borderId="43" xfId="0" applyNumberFormat="1" applyFont="1" applyFill="1" applyBorder="1" applyAlignment="1">
      <alignment horizontal="left" vertical="center"/>
    </xf>
    <xf numFmtId="176" fontId="40" fillId="2" borderId="9" xfId="0" applyNumberFormat="1" applyFont="1" applyFill="1" applyBorder="1" applyAlignment="1">
      <alignment horizontal="right" vertical="center"/>
    </xf>
    <xf numFmtId="176" fontId="51" fillId="2" borderId="17" xfId="1" applyNumberFormat="1" applyFont="1" applyFill="1" applyBorder="1" applyAlignment="1">
      <alignment vertical="center"/>
    </xf>
    <xf numFmtId="0" fontId="51" fillId="2" borderId="17" xfId="1" applyFont="1" applyFill="1" applyBorder="1">
      <alignment vertical="center"/>
    </xf>
    <xf numFmtId="0" fontId="51" fillId="2" borderId="17" xfId="1" applyFont="1" applyFill="1" applyBorder="1" applyAlignment="1">
      <alignment vertical="center" wrapText="1"/>
    </xf>
    <xf numFmtId="0" fontId="40" fillId="2" borderId="38" xfId="1" applyFont="1" applyFill="1" applyBorder="1">
      <alignment vertical="center"/>
    </xf>
    <xf numFmtId="176" fontId="40" fillId="0" borderId="44" xfId="1" applyNumberFormat="1" applyFont="1" applyFill="1" applyBorder="1" applyAlignment="1">
      <alignment vertical="center"/>
    </xf>
    <xf numFmtId="176" fontId="40" fillId="2" borderId="21" xfId="0" applyNumberFormat="1" applyFont="1" applyFill="1" applyBorder="1" applyAlignment="1">
      <alignment horizontal="right" vertical="center"/>
    </xf>
    <xf numFmtId="0" fontId="51" fillId="2" borderId="45" xfId="1" applyFont="1" applyFill="1" applyBorder="1">
      <alignment vertical="center"/>
    </xf>
    <xf numFmtId="176" fontId="40" fillId="2" borderId="9" xfId="1" applyNumberFormat="1" applyFont="1" applyFill="1" applyBorder="1" applyAlignment="1">
      <alignment vertical="center"/>
    </xf>
    <xf numFmtId="176" fontId="50" fillId="2" borderId="9" xfId="1" applyNumberFormat="1" applyFont="1" applyFill="1" applyBorder="1" applyAlignment="1">
      <alignment vertical="center"/>
    </xf>
    <xf numFmtId="176" fontId="40" fillId="0" borderId="18" xfId="1" applyNumberFormat="1" applyFont="1" applyFill="1" applyBorder="1" applyAlignment="1">
      <alignment horizontal="right" vertical="center"/>
    </xf>
    <xf numFmtId="176" fontId="40" fillId="0" borderId="21" xfId="1" applyNumberFormat="1" applyFont="1" applyFill="1" applyBorder="1" applyAlignment="1">
      <alignment vertical="center"/>
    </xf>
    <xf numFmtId="176" fontId="50" fillId="2" borderId="21" xfId="1" applyNumberFormat="1" applyFont="1" applyFill="1" applyBorder="1" applyAlignment="1">
      <alignment vertical="center"/>
    </xf>
    <xf numFmtId="176" fontId="50" fillId="2" borderId="9" xfId="0" applyNumberFormat="1" applyFont="1" applyFill="1" applyBorder="1" applyAlignment="1">
      <alignment horizontal="right" vertical="center"/>
    </xf>
    <xf numFmtId="176" fontId="50" fillId="2" borderId="12" xfId="0" applyNumberFormat="1" applyFont="1" applyFill="1" applyBorder="1" applyAlignment="1">
      <alignment horizontal="left" vertical="center"/>
    </xf>
    <xf numFmtId="176" fontId="52" fillId="2" borderId="9" xfId="0" applyNumberFormat="1" applyFont="1" applyFill="1" applyBorder="1" applyAlignment="1">
      <alignment horizontal="left" vertical="center"/>
    </xf>
    <xf numFmtId="49" fontId="18" fillId="0" borderId="0" xfId="1" applyNumberFormat="1" applyFont="1" applyFill="1" applyBorder="1" applyAlignment="1">
      <alignment horizontal="left" vertical="center" wrapText="1"/>
    </xf>
    <xf numFmtId="49" fontId="18" fillId="0" borderId="13" xfId="1" applyNumberFormat="1" applyFont="1" applyFill="1" applyBorder="1" applyAlignment="1">
      <alignment horizontal="left" vertical="center"/>
    </xf>
    <xf numFmtId="49" fontId="18" fillId="0" borderId="0" xfId="1" applyNumberFormat="1" applyFont="1" applyFill="1" applyBorder="1" applyAlignment="1">
      <alignment horizontal="left" vertical="center"/>
    </xf>
    <xf numFmtId="49" fontId="18" fillId="0" borderId="0" xfId="1" applyNumberFormat="1" applyFont="1" applyFill="1" applyBorder="1" applyAlignment="1">
      <alignment horizontal="right" vertical="center"/>
    </xf>
    <xf numFmtId="49" fontId="18" fillId="2" borderId="13" xfId="1" applyNumberFormat="1" applyFont="1" applyFill="1" applyBorder="1" applyAlignment="1">
      <alignment horizontal="left" vertical="center"/>
    </xf>
    <xf numFmtId="49" fontId="18" fillId="2" borderId="0" xfId="1" applyNumberFormat="1" applyFont="1" applyFill="1" applyBorder="1" applyAlignment="1">
      <alignment horizontal="left" vertical="center"/>
    </xf>
    <xf numFmtId="0" fontId="24" fillId="7" borderId="28" xfId="0" applyFont="1" applyFill="1" applyBorder="1" applyAlignment="1">
      <alignment horizontal="center" vertical="center" wrapText="1"/>
    </xf>
    <xf numFmtId="176" fontId="23" fillId="0" borderId="21" xfId="1" applyNumberFormat="1" applyFont="1" applyFill="1" applyBorder="1" applyAlignment="1">
      <alignment vertical="center"/>
    </xf>
    <xf numFmtId="0" fontId="21" fillId="0" borderId="0" xfId="1" applyFont="1" applyBorder="1">
      <alignment vertical="center"/>
    </xf>
    <xf numFmtId="0" fontId="21" fillId="0" borderId="0" xfId="1" applyFont="1" applyBorder="1" applyAlignment="1"/>
    <xf numFmtId="0" fontId="18" fillId="2" borderId="0" xfId="0" applyFont="1" applyFill="1" applyBorder="1">
      <alignment vertical="center"/>
    </xf>
    <xf numFmtId="0" fontId="18" fillId="0" borderId="0" xfId="1" applyFont="1" applyBorder="1">
      <alignment vertical="center"/>
    </xf>
    <xf numFmtId="0" fontId="18" fillId="0" borderId="0" xfId="1" applyFont="1" applyFill="1" applyBorder="1">
      <alignment vertical="center"/>
    </xf>
    <xf numFmtId="0" fontId="51" fillId="2" borderId="0" xfId="1" applyFont="1" applyFill="1" applyBorder="1">
      <alignment vertical="center"/>
    </xf>
    <xf numFmtId="0" fontId="23" fillId="0" borderId="0" xfId="1" applyFont="1" applyFill="1" applyBorder="1">
      <alignment vertical="center"/>
    </xf>
    <xf numFmtId="49" fontId="23" fillId="0" borderId="14" xfId="1" applyNumberFormat="1" applyFont="1" applyFill="1" applyBorder="1" applyAlignment="1">
      <alignment horizontal="center" vertical="center" wrapText="1"/>
    </xf>
    <xf numFmtId="49" fontId="23" fillId="0" borderId="7" xfId="1" applyNumberFormat="1" applyFont="1" applyFill="1" applyBorder="1" applyAlignment="1">
      <alignment horizontal="center" vertical="center" wrapText="1"/>
    </xf>
    <xf numFmtId="49" fontId="23" fillId="0" borderId="7" xfId="1" applyNumberFormat="1" applyFont="1" applyFill="1" applyBorder="1" applyAlignment="1">
      <alignment horizontal="left" vertical="center" wrapText="1"/>
    </xf>
    <xf numFmtId="176" fontId="21" fillId="2" borderId="9" xfId="1" applyNumberFormat="1" applyFont="1" applyFill="1" applyBorder="1" applyAlignment="1">
      <alignment vertical="center"/>
    </xf>
    <xf numFmtId="176" fontId="21" fillId="0" borderId="9" xfId="1" applyNumberFormat="1" applyFont="1" applyFill="1" applyBorder="1" applyAlignment="1">
      <alignment vertical="center"/>
    </xf>
    <xf numFmtId="176" fontId="21" fillId="2" borderId="9" xfId="0" applyNumberFormat="1" applyFont="1" applyFill="1" applyBorder="1" applyAlignment="1">
      <alignment horizontal="right" vertical="center"/>
    </xf>
    <xf numFmtId="0" fontId="25" fillId="2" borderId="0" xfId="0" applyFont="1" applyFill="1" applyAlignment="1">
      <alignment horizontal="center" vertical="center"/>
    </xf>
    <xf numFmtId="49" fontId="18" fillId="2" borderId="2" xfId="1" applyNumberFormat="1" applyFont="1" applyFill="1" applyBorder="1" applyAlignment="1">
      <alignment horizontal="left" vertical="center" wrapText="1"/>
    </xf>
    <xf numFmtId="49" fontId="18" fillId="2" borderId="3" xfId="1" applyNumberFormat="1" applyFont="1" applyFill="1" applyBorder="1" applyAlignment="1">
      <alignment horizontal="left" vertical="center" wrapText="1"/>
    </xf>
    <xf numFmtId="49" fontId="18" fillId="2" borderId="13" xfId="0" applyNumberFormat="1" applyFont="1" applyFill="1" applyBorder="1" applyAlignment="1">
      <alignment horizontal="left" vertical="center"/>
    </xf>
    <xf numFmtId="49" fontId="18" fillId="2" borderId="0" xfId="0" applyNumberFormat="1" applyFont="1" applyFill="1" applyBorder="1" applyAlignment="1">
      <alignment horizontal="left" vertical="center"/>
    </xf>
    <xf numFmtId="49" fontId="18" fillId="2" borderId="0" xfId="0" applyNumberFormat="1" applyFont="1" applyFill="1" applyBorder="1" applyAlignment="1">
      <alignment horizontal="right" vertical="center"/>
    </xf>
    <xf numFmtId="49" fontId="18" fillId="2" borderId="11" xfId="0" applyNumberFormat="1" applyFont="1" applyFill="1" applyBorder="1" applyAlignment="1">
      <alignment horizontal="left" vertical="center" wrapText="1"/>
    </xf>
    <xf numFmtId="49" fontId="18" fillId="2" borderId="4" xfId="0" applyNumberFormat="1" applyFont="1" applyFill="1" applyBorder="1" applyAlignment="1">
      <alignment horizontal="left" vertical="center" wrapText="1"/>
    </xf>
    <xf numFmtId="49" fontId="17" fillId="2" borderId="13" xfId="0" applyNumberFormat="1" applyFont="1" applyFill="1" applyBorder="1" applyAlignment="1">
      <alignment horizontal="left" vertical="center" wrapText="1"/>
    </xf>
    <xf numFmtId="49" fontId="17" fillId="2" borderId="0" xfId="0" applyNumberFormat="1" applyFont="1" applyFill="1" applyBorder="1" applyAlignment="1">
      <alignment horizontal="left" vertical="center" wrapText="1"/>
    </xf>
    <xf numFmtId="49" fontId="18" fillId="2" borderId="5" xfId="0" applyNumberFormat="1" applyFont="1" applyFill="1" applyBorder="1" applyAlignment="1">
      <alignment horizontal="left" vertical="center"/>
    </xf>
    <xf numFmtId="49" fontId="18" fillId="2" borderId="6" xfId="0" applyNumberFormat="1" applyFont="1" applyFill="1" applyBorder="1" applyAlignment="1">
      <alignment horizontal="left" vertical="center"/>
    </xf>
    <xf numFmtId="49" fontId="18" fillId="2" borderId="6" xfId="0" applyNumberFormat="1" applyFont="1" applyFill="1" applyBorder="1" applyAlignment="1">
      <alignment horizontal="right" vertical="center"/>
    </xf>
    <xf numFmtId="49" fontId="18" fillId="2" borderId="13" xfId="0" applyNumberFormat="1" applyFont="1" applyFill="1" applyBorder="1" applyAlignment="1">
      <alignment horizontal="left" vertical="center" wrapText="1"/>
    </xf>
    <xf numFmtId="49" fontId="18" fillId="2" borderId="0" xfId="0" applyNumberFormat="1" applyFont="1" applyFill="1" applyBorder="1" applyAlignment="1">
      <alignment horizontal="left" vertical="center" wrapText="1"/>
    </xf>
    <xf numFmtId="49" fontId="17" fillId="6" borderId="12" xfId="1" applyNumberFormat="1" applyFont="1" applyFill="1" applyBorder="1" applyAlignment="1">
      <alignment horizontal="center" vertical="center" wrapText="1"/>
    </xf>
    <xf numFmtId="49" fontId="17" fillId="6" borderId="14" xfId="1" applyNumberFormat="1" applyFont="1" applyFill="1" applyBorder="1" applyAlignment="1">
      <alignment horizontal="center" vertical="center" wrapText="1"/>
    </xf>
    <xf numFmtId="49" fontId="17" fillId="6" borderId="5" xfId="1" applyNumberFormat="1" applyFont="1" applyFill="1" applyBorder="1" applyAlignment="1">
      <alignment horizontal="center" vertical="center" wrapText="1"/>
    </xf>
    <xf numFmtId="49" fontId="17" fillId="6" borderId="6" xfId="1" applyNumberFormat="1" applyFont="1" applyFill="1" applyBorder="1" applyAlignment="1">
      <alignment horizontal="center" vertical="center" wrapText="1"/>
    </xf>
    <xf numFmtId="49" fontId="17" fillId="6" borderId="7" xfId="1" applyNumberFormat="1" applyFont="1" applyFill="1" applyBorder="1" applyAlignment="1">
      <alignment horizontal="center" vertical="center" wrapText="1"/>
    </xf>
    <xf numFmtId="49" fontId="18" fillId="2" borderId="0" xfId="1" applyNumberFormat="1" applyFont="1" applyFill="1" applyBorder="1" applyAlignment="1">
      <alignment horizontal="right" wrapText="1"/>
    </xf>
    <xf numFmtId="49" fontId="17" fillId="6" borderId="4" xfId="1" applyNumberFormat="1" applyFont="1" applyFill="1" applyBorder="1" applyAlignment="1">
      <alignment horizontal="center" vertical="center" wrapText="1"/>
    </xf>
    <xf numFmtId="49" fontId="17" fillId="6" borderId="1" xfId="1" applyNumberFormat="1" applyFont="1" applyFill="1" applyBorder="1" applyAlignment="1">
      <alignment horizontal="center" vertical="center" wrapText="1"/>
    </xf>
    <xf numFmtId="49" fontId="17" fillId="6" borderId="2" xfId="1" applyNumberFormat="1" applyFont="1" applyFill="1" applyBorder="1" applyAlignment="1">
      <alignment horizontal="center" vertical="center" wrapText="1"/>
    </xf>
    <xf numFmtId="49" fontId="17" fillId="6" borderId="3" xfId="1" applyNumberFormat="1" applyFont="1" applyFill="1" applyBorder="1" applyAlignment="1">
      <alignment horizontal="center" vertical="center" wrapText="1"/>
    </xf>
    <xf numFmtId="49" fontId="18" fillId="2" borderId="1" xfId="1" applyNumberFormat="1" applyFont="1" applyFill="1" applyBorder="1" applyAlignment="1">
      <alignment horizontal="left" vertical="center" wrapText="1"/>
    </xf>
    <xf numFmtId="49" fontId="41" fillId="2" borderId="0" xfId="1" applyNumberFormat="1" applyFont="1" applyFill="1" applyBorder="1" applyAlignment="1">
      <alignment horizontal="left" vertical="center" wrapText="1"/>
    </xf>
    <xf numFmtId="49" fontId="19" fillId="2" borderId="0" xfId="1" applyNumberFormat="1" applyFont="1" applyFill="1" applyBorder="1" applyAlignment="1">
      <alignment horizontal="left" wrapText="1"/>
    </xf>
    <xf numFmtId="49" fontId="6" fillId="2" borderId="2" xfId="1" applyNumberFormat="1" applyFont="1" applyFill="1" applyBorder="1" applyAlignment="1">
      <alignment horizontal="left" vertical="center" wrapText="1"/>
    </xf>
    <xf numFmtId="49" fontId="6" fillId="2" borderId="3" xfId="1" applyNumberFormat="1" applyFont="1" applyFill="1" applyBorder="1" applyAlignment="1">
      <alignment horizontal="left" vertical="center" wrapText="1"/>
    </xf>
    <xf numFmtId="49" fontId="6" fillId="2" borderId="11" xfId="0" applyNumberFormat="1" applyFont="1" applyFill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vertical="center" wrapText="1"/>
    </xf>
    <xf numFmtId="49" fontId="7" fillId="3" borderId="1" xfId="1" applyNumberFormat="1" applyFont="1" applyFill="1" applyBorder="1" applyAlignment="1">
      <alignment horizontal="center" vertical="center" wrapText="1"/>
    </xf>
    <xf numFmtId="49" fontId="7" fillId="3" borderId="2" xfId="1" applyNumberFormat="1" applyFont="1" applyFill="1" applyBorder="1" applyAlignment="1">
      <alignment horizontal="center" vertical="center" wrapText="1"/>
    </xf>
    <xf numFmtId="49" fontId="7" fillId="3" borderId="3" xfId="1" applyNumberFormat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left" vertical="center" wrapText="1"/>
    </xf>
    <xf numFmtId="49" fontId="12" fillId="2" borderId="0" xfId="1" applyNumberFormat="1" applyFont="1" applyFill="1" applyBorder="1" applyAlignment="1">
      <alignment horizontal="left" vertical="center" wrapText="1"/>
    </xf>
    <xf numFmtId="49" fontId="7" fillId="2" borderId="0" xfId="1" applyNumberFormat="1" applyFont="1" applyFill="1" applyBorder="1" applyAlignment="1">
      <alignment horizontal="right" vertical="center" wrapText="1"/>
    </xf>
    <xf numFmtId="49" fontId="4" fillId="2" borderId="0" xfId="1" applyNumberFormat="1" applyFont="1" applyFill="1" applyBorder="1" applyAlignment="1">
      <alignment horizontal="left" vertical="center" wrapText="1"/>
    </xf>
    <xf numFmtId="49" fontId="6" fillId="2" borderId="0" xfId="1" applyNumberFormat="1" applyFont="1" applyFill="1" applyBorder="1" applyAlignment="1">
      <alignment horizontal="right" vertical="center" wrapText="1"/>
    </xf>
    <xf numFmtId="49" fontId="13" fillId="3" borderId="1" xfId="1" applyNumberFormat="1" applyFont="1" applyFill="1" applyBorder="1" applyAlignment="1">
      <alignment horizontal="center" vertical="center" wrapText="1"/>
    </xf>
    <xf numFmtId="49" fontId="13" fillId="3" borderId="2" xfId="1" applyNumberFormat="1" applyFont="1" applyFill="1" applyBorder="1" applyAlignment="1">
      <alignment horizontal="center" vertical="center" wrapText="1"/>
    </xf>
    <xf numFmtId="49" fontId="13" fillId="3" borderId="3" xfId="1" applyNumberFormat="1" applyFont="1" applyFill="1" applyBorder="1" applyAlignment="1">
      <alignment horizontal="center" vertical="center" wrapText="1"/>
    </xf>
    <xf numFmtId="49" fontId="13" fillId="3" borderId="4" xfId="1" applyNumberFormat="1" applyFont="1" applyFill="1" applyBorder="1" applyAlignment="1">
      <alignment horizontal="center" vertical="center" wrapText="1"/>
    </xf>
    <xf numFmtId="49" fontId="13" fillId="3" borderId="7" xfId="1" applyNumberFormat="1" applyFont="1" applyFill="1" applyBorder="1" applyAlignment="1">
      <alignment horizontal="center" vertical="center" wrapText="1"/>
    </xf>
    <xf numFmtId="49" fontId="13" fillId="3" borderId="5" xfId="1" applyNumberFormat="1" applyFont="1" applyFill="1" applyBorder="1" applyAlignment="1">
      <alignment horizontal="center" vertical="center" wrapText="1"/>
    </xf>
    <xf numFmtId="49" fontId="13" fillId="3" borderId="6" xfId="1" applyNumberFormat="1" applyFont="1" applyFill="1" applyBorder="1" applyAlignment="1">
      <alignment horizontal="center" vertical="center" wrapText="1"/>
    </xf>
    <xf numFmtId="49" fontId="6" fillId="2" borderId="13" xfId="0" applyNumberFormat="1" applyFont="1" applyFill="1" applyBorder="1" applyAlignment="1">
      <alignment horizontal="left" vertical="center"/>
    </xf>
    <xf numFmtId="49" fontId="6" fillId="2" borderId="0" xfId="0" applyNumberFormat="1" applyFont="1" applyFill="1" applyBorder="1" applyAlignment="1">
      <alignment horizontal="left" vertical="center"/>
    </xf>
    <xf numFmtId="49" fontId="6" fillId="2" borderId="0" xfId="0" applyNumberFormat="1" applyFont="1" applyFill="1" applyBorder="1" applyAlignment="1">
      <alignment horizontal="right" vertical="center"/>
    </xf>
    <xf numFmtId="49" fontId="6" fillId="2" borderId="13" xfId="0" applyNumberFormat="1" applyFont="1" applyFill="1" applyBorder="1" applyAlignment="1">
      <alignment horizontal="left" vertical="center" wrapText="1"/>
    </xf>
    <xf numFmtId="49" fontId="6" fillId="2" borderId="0" xfId="0" applyNumberFormat="1" applyFont="1" applyFill="1" applyBorder="1" applyAlignment="1">
      <alignment horizontal="left" vertical="center" wrapText="1"/>
    </xf>
    <xf numFmtId="49" fontId="6" fillId="2" borderId="10" xfId="0" applyNumberFormat="1" applyFont="1" applyFill="1" applyBorder="1" applyAlignment="1">
      <alignment horizontal="left" vertical="center" wrapText="1"/>
    </xf>
    <xf numFmtId="49" fontId="6" fillId="2" borderId="13" xfId="0" applyNumberFormat="1" applyFont="1" applyFill="1" applyBorder="1" applyAlignment="1">
      <alignment horizontal="right" vertical="center" wrapText="1"/>
    </xf>
    <xf numFmtId="49" fontId="6" fillId="2" borderId="0" xfId="0" applyNumberFormat="1" applyFont="1" applyFill="1" applyBorder="1" applyAlignment="1">
      <alignment horizontal="right" vertical="center" wrapText="1"/>
    </xf>
    <xf numFmtId="49" fontId="6" fillId="2" borderId="6" xfId="0" applyNumberFormat="1" applyFont="1" applyFill="1" applyBorder="1" applyAlignment="1">
      <alignment horizontal="right" vertical="center"/>
    </xf>
    <xf numFmtId="49" fontId="6" fillId="2" borderId="2" xfId="0" applyNumberFormat="1" applyFont="1" applyFill="1" applyBorder="1" applyAlignment="1">
      <alignment horizontal="left" vertical="center" wrapText="1"/>
    </xf>
    <xf numFmtId="49" fontId="6" fillId="2" borderId="3" xfId="0" applyNumberFormat="1" applyFont="1" applyFill="1" applyBorder="1" applyAlignment="1">
      <alignment horizontal="left" vertical="center" wrapText="1"/>
    </xf>
    <xf numFmtId="49" fontId="6" fillId="2" borderId="11" xfId="1" applyNumberFormat="1" applyFont="1" applyFill="1" applyBorder="1" applyAlignment="1">
      <alignment horizontal="left" vertical="center" wrapText="1"/>
    </xf>
    <xf numFmtId="49" fontId="6" fillId="2" borderId="4" xfId="1" applyNumberFormat="1" applyFont="1" applyFill="1" applyBorder="1" applyAlignment="1">
      <alignment horizontal="left" vertical="center" wrapText="1"/>
    </xf>
    <xf numFmtId="49" fontId="6" fillId="2" borderId="13" xfId="1" applyNumberFormat="1" applyFont="1" applyFill="1" applyBorder="1" applyAlignment="1">
      <alignment horizontal="left" vertical="center" wrapText="1"/>
    </xf>
    <xf numFmtId="49" fontId="6" fillId="2" borderId="0" xfId="1" applyNumberFormat="1" applyFont="1" applyFill="1" applyBorder="1" applyAlignment="1">
      <alignment horizontal="left" vertical="center" wrapText="1"/>
    </xf>
    <xf numFmtId="49" fontId="6" fillId="2" borderId="13" xfId="1" applyNumberFormat="1" applyFont="1" applyFill="1" applyBorder="1" applyAlignment="1">
      <alignment horizontal="left" vertical="center"/>
    </xf>
    <xf numFmtId="49" fontId="6" fillId="2" borderId="0" xfId="1" applyNumberFormat="1" applyFont="1" applyFill="1" applyBorder="1" applyAlignment="1">
      <alignment horizontal="left" vertical="center"/>
    </xf>
    <xf numFmtId="49" fontId="6" fillId="2" borderId="0" xfId="1" applyNumberFormat="1" applyFont="1" applyFill="1" applyBorder="1" applyAlignment="1">
      <alignment horizontal="right" vertical="center"/>
    </xf>
    <xf numFmtId="49" fontId="6" fillId="5" borderId="13" xfId="1" applyNumberFormat="1" applyFont="1" applyFill="1" applyBorder="1" applyAlignment="1">
      <alignment horizontal="left" vertical="center"/>
    </xf>
    <xf numFmtId="49" fontId="6" fillId="5" borderId="0" xfId="1" applyNumberFormat="1" applyFont="1" applyFill="1" applyBorder="1" applyAlignment="1">
      <alignment horizontal="left" vertical="center"/>
    </xf>
    <xf numFmtId="49" fontId="6" fillId="5" borderId="0" xfId="1" applyNumberFormat="1" applyFont="1" applyFill="1" applyBorder="1" applyAlignment="1">
      <alignment horizontal="right" vertical="center"/>
    </xf>
    <xf numFmtId="49" fontId="6" fillId="4" borderId="13" xfId="1" applyNumberFormat="1" applyFont="1" applyFill="1" applyBorder="1" applyAlignment="1">
      <alignment horizontal="left" vertical="center"/>
    </xf>
    <xf numFmtId="49" fontId="6" fillId="4" borderId="0" xfId="1" applyNumberFormat="1" applyFont="1" applyFill="1" applyBorder="1" applyAlignment="1">
      <alignment horizontal="left" vertical="center"/>
    </xf>
    <xf numFmtId="49" fontId="6" fillId="4" borderId="0" xfId="1" applyNumberFormat="1" applyFont="1" applyFill="1" applyBorder="1" applyAlignment="1">
      <alignment horizontal="right" vertical="center"/>
    </xf>
    <xf numFmtId="49" fontId="6" fillId="2" borderId="10" xfId="1" applyNumberFormat="1" applyFont="1" applyFill="1" applyBorder="1" applyAlignment="1">
      <alignment horizontal="left" vertical="center" wrapText="1"/>
    </xf>
    <xf numFmtId="49" fontId="6" fillId="2" borderId="13" xfId="1" applyNumberFormat="1" applyFont="1" applyFill="1" applyBorder="1" applyAlignment="1">
      <alignment horizontal="right" vertical="center" wrapText="1"/>
    </xf>
    <xf numFmtId="49" fontId="5" fillId="2" borderId="13" xfId="5" applyNumberFormat="1" applyFont="1" applyFill="1" applyBorder="1" applyAlignment="1">
      <alignment horizontal="left" vertical="center"/>
    </xf>
    <xf numFmtId="49" fontId="5" fillId="2" borderId="0" xfId="5" applyNumberFormat="1" applyFont="1" applyFill="1" applyBorder="1" applyAlignment="1">
      <alignment horizontal="left" vertical="center"/>
    </xf>
    <xf numFmtId="49" fontId="5" fillId="2" borderId="0" xfId="5" applyNumberFormat="1" applyFont="1" applyFill="1" applyBorder="1" applyAlignment="1">
      <alignment horizontal="right" vertical="center"/>
    </xf>
    <xf numFmtId="49" fontId="5" fillId="2" borderId="13" xfId="0" applyNumberFormat="1" applyFont="1" applyFill="1" applyBorder="1" applyAlignment="1">
      <alignment horizontal="left" vertical="center"/>
    </xf>
    <xf numFmtId="49" fontId="5" fillId="2" borderId="0" xfId="0" applyNumberFormat="1" applyFont="1" applyFill="1" applyBorder="1" applyAlignment="1">
      <alignment horizontal="left" vertical="center"/>
    </xf>
    <xf numFmtId="49" fontId="5" fillId="2" borderId="0" xfId="0" applyNumberFormat="1" applyFont="1" applyFill="1" applyBorder="1" applyAlignment="1">
      <alignment horizontal="right" vertical="center"/>
    </xf>
    <xf numFmtId="49" fontId="6" fillId="4" borderId="13" xfId="1" applyNumberFormat="1" applyFont="1" applyFill="1" applyBorder="1" applyAlignment="1">
      <alignment horizontal="left" vertical="center" wrapText="1"/>
    </xf>
    <xf numFmtId="49" fontId="6" fillId="4" borderId="0" xfId="1" applyNumberFormat="1" applyFont="1" applyFill="1" applyBorder="1" applyAlignment="1">
      <alignment horizontal="left" vertical="center" wrapText="1"/>
    </xf>
    <xf numFmtId="49" fontId="6" fillId="2" borderId="15" xfId="1" applyNumberFormat="1" applyFont="1" applyFill="1" applyBorder="1" applyAlignment="1">
      <alignment horizontal="left" vertical="center" wrapText="1"/>
    </xf>
    <xf numFmtId="49" fontId="6" fillId="2" borderId="5" xfId="1" applyNumberFormat="1" applyFont="1" applyFill="1" applyBorder="1" applyAlignment="1">
      <alignment horizontal="left" vertical="center"/>
    </xf>
    <xf numFmtId="49" fontId="6" fillId="2" borderId="6" xfId="1" applyNumberFormat="1" applyFont="1" applyFill="1" applyBorder="1" applyAlignment="1">
      <alignment horizontal="left" vertical="center"/>
    </xf>
    <xf numFmtId="49" fontId="6" fillId="2" borderId="6" xfId="1" applyNumberFormat="1" applyFont="1" applyFill="1" applyBorder="1" applyAlignment="1">
      <alignment horizontal="right" vertical="center"/>
    </xf>
    <xf numFmtId="49" fontId="6" fillId="5" borderId="16" xfId="1" applyNumberFormat="1" applyFont="1" applyFill="1" applyBorder="1" applyAlignment="1">
      <alignment horizontal="left" vertical="center" wrapText="1"/>
    </xf>
    <xf numFmtId="49" fontId="6" fillId="5" borderId="0" xfId="1" applyNumberFormat="1" applyFont="1" applyFill="1" applyBorder="1" applyAlignment="1">
      <alignment horizontal="left" vertical="center" wrapText="1"/>
    </xf>
    <xf numFmtId="49" fontId="6" fillId="5" borderId="5" xfId="1" applyNumberFormat="1" applyFont="1" applyFill="1" applyBorder="1" applyAlignment="1">
      <alignment horizontal="left" vertical="center"/>
    </xf>
    <xf numFmtId="49" fontId="6" fillId="5" borderId="6" xfId="1" applyNumberFormat="1" applyFont="1" applyFill="1" applyBorder="1" applyAlignment="1">
      <alignment horizontal="left" vertical="center"/>
    </xf>
    <xf numFmtId="49" fontId="6" fillId="5" borderId="6" xfId="1" applyNumberFormat="1" applyFont="1" applyFill="1" applyBorder="1" applyAlignment="1">
      <alignment horizontal="right" vertical="center"/>
    </xf>
    <xf numFmtId="49" fontId="23" fillId="0" borderId="20" xfId="1" applyNumberFormat="1" applyFont="1" applyFill="1" applyBorder="1" applyAlignment="1">
      <alignment horizontal="left" vertical="center"/>
    </xf>
    <xf numFmtId="49" fontId="23" fillId="0" borderId="19" xfId="1" applyNumberFormat="1" applyFont="1" applyFill="1" applyBorder="1" applyAlignment="1">
      <alignment horizontal="left" vertical="center"/>
    </xf>
    <xf numFmtId="49" fontId="23" fillId="0" borderId="19" xfId="1" applyNumberFormat="1" applyFont="1" applyFill="1" applyBorder="1" applyAlignment="1">
      <alignment horizontal="right" vertical="center"/>
    </xf>
    <xf numFmtId="49" fontId="18" fillId="0" borderId="13" xfId="1" applyNumberFormat="1" applyFont="1" applyFill="1" applyBorder="1" applyAlignment="1">
      <alignment horizontal="left" vertical="center" wrapText="1"/>
    </xf>
    <xf numFmtId="49" fontId="18" fillId="0" borderId="0" xfId="1" applyNumberFormat="1" applyFont="1" applyFill="1" applyBorder="1" applyAlignment="1">
      <alignment horizontal="left" vertical="center" wrapText="1"/>
    </xf>
    <xf numFmtId="49" fontId="18" fillId="0" borderId="13" xfId="1" applyNumberFormat="1" applyFont="1" applyFill="1" applyBorder="1" applyAlignment="1">
      <alignment horizontal="left" vertical="center"/>
    </xf>
    <xf numFmtId="49" fontId="18" fillId="0" borderId="0" xfId="1" applyNumberFormat="1" applyFont="1" applyFill="1" applyBorder="1" applyAlignment="1">
      <alignment horizontal="left" vertical="center"/>
    </xf>
    <xf numFmtId="49" fontId="18" fillId="0" borderId="0" xfId="1" applyNumberFormat="1" applyFont="1" applyFill="1" applyBorder="1" applyAlignment="1">
      <alignment horizontal="right" vertical="center"/>
    </xf>
    <xf numFmtId="49" fontId="19" fillId="0" borderId="2" xfId="1" applyNumberFormat="1" applyFont="1" applyFill="1" applyBorder="1" applyAlignment="1">
      <alignment horizontal="left" vertical="center" wrapText="1"/>
    </xf>
    <xf numFmtId="49" fontId="19" fillId="0" borderId="3" xfId="1" applyNumberFormat="1" applyFont="1" applyFill="1" applyBorder="1" applyAlignment="1">
      <alignment horizontal="left" vertical="center" wrapText="1"/>
    </xf>
    <xf numFmtId="49" fontId="18" fillId="0" borderId="27" xfId="1" applyNumberFormat="1" applyFont="1" applyFill="1" applyBorder="1" applyAlignment="1">
      <alignment horizontal="left" vertical="center" wrapText="1"/>
    </xf>
    <xf numFmtId="49" fontId="18" fillId="0" borderId="11" xfId="1" applyNumberFormat="1" applyFont="1" applyFill="1" applyBorder="1" applyAlignment="1">
      <alignment horizontal="left" vertical="center" wrapText="1"/>
    </xf>
    <xf numFmtId="49" fontId="18" fillId="2" borderId="10" xfId="0" applyNumberFormat="1" applyFont="1" applyFill="1" applyBorder="1" applyAlignment="1">
      <alignment horizontal="left" vertical="center" wrapText="1"/>
    </xf>
    <xf numFmtId="49" fontId="21" fillId="2" borderId="0" xfId="1" applyNumberFormat="1" applyFont="1" applyFill="1" applyBorder="1" applyAlignment="1">
      <alignment horizontal="right" vertical="center"/>
    </xf>
    <xf numFmtId="49" fontId="19" fillId="0" borderId="0" xfId="1" applyNumberFormat="1" applyFont="1" applyFill="1" applyBorder="1" applyAlignment="1">
      <alignment horizontal="left" vertical="center" wrapText="1"/>
    </xf>
    <xf numFmtId="49" fontId="37" fillId="0" borderId="13" xfId="1" applyNumberFormat="1" applyFont="1" applyFill="1" applyBorder="1" applyAlignment="1">
      <alignment horizontal="left" vertical="center"/>
    </xf>
    <xf numFmtId="49" fontId="37" fillId="0" borderId="0" xfId="1" applyNumberFormat="1" applyFont="1" applyFill="1" applyBorder="1" applyAlignment="1">
      <alignment horizontal="left" vertical="center"/>
    </xf>
    <xf numFmtId="49" fontId="37" fillId="0" borderId="0" xfId="1" applyNumberFormat="1" applyFont="1" applyFill="1" applyBorder="1" applyAlignment="1">
      <alignment horizontal="right" vertical="center"/>
    </xf>
    <xf numFmtId="49" fontId="19" fillId="0" borderId="1" xfId="1" applyNumberFormat="1" applyFont="1" applyFill="1" applyBorder="1" applyAlignment="1">
      <alignment horizontal="left" vertical="center" wrapText="1"/>
    </xf>
    <xf numFmtId="49" fontId="20" fillId="0" borderId="0" xfId="1" applyNumberFormat="1" applyFont="1" applyFill="1" applyBorder="1" applyAlignment="1">
      <alignment horizontal="left" vertical="center" wrapText="1"/>
    </xf>
    <xf numFmtId="49" fontId="19" fillId="0" borderId="0" xfId="1" applyNumberFormat="1" applyFont="1" applyFill="1" applyBorder="1" applyAlignment="1">
      <alignment horizontal="right" vertical="center" wrapText="1"/>
    </xf>
    <xf numFmtId="49" fontId="19" fillId="0" borderId="26" xfId="1" applyNumberFormat="1" applyFont="1" applyFill="1" applyBorder="1" applyAlignment="1">
      <alignment horizontal="left" vertical="center" wrapText="1"/>
    </xf>
    <xf numFmtId="49" fontId="19" fillId="0" borderId="22" xfId="1" applyNumberFormat="1" applyFont="1" applyFill="1" applyBorder="1" applyAlignment="1">
      <alignment horizontal="left" vertical="center" wrapText="1"/>
    </xf>
    <xf numFmtId="49" fontId="19" fillId="0" borderId="23" xfId="1" applyNumberFormat="1" applyFont="1" applyFill="1" applyBorder="1" applyAlignment="1">
      <alignment horizontal="left" vertical="center" wrapText="1"/>
    </xf>
    <xf numFmtId="49" fontId="17" fillId="0" borderId="13" xfId="1" applyNumberFormat="1" applyFont="1" applyFill="1" applyBorder="1" applyAlignment="1">
      <alignment horizontal="left" vertical="center" wrapText="1"/>
    </xf>
    <xf numFmtId="49" fontId="17" fillId="0" borderId="0" xfId="1" applyNumberFormat="1" applyFont="1" applyFill="1" applyBorder="1" applyAlignment="1">
      <alignment horizontal="left" vertical="center" wrapText="1"/>
    </xf>
    <xf numFmtId="49" fontId="18" fillId="2" borderId="13" xfId="1" applyNumberFormat="1" applyFont="1" applyFill="1" applyBorder="1" applyAlignment="1">
      <alignment horizontal="left" vertical="center"/>
    </xf>
    <xf numFmtId="49" fontId="18" fillId="2" borderId="0" xfId="1" applyNumberFormat="1" applyFont="1" applyFill="1" applyBorder="1" applyAlignment="1">
      <alignment horizontal="left" vertical="center"/>
    </xf>
    <xf numFmtId="49" fontId="17" fillId="2" borderId="13" xfId="1" applyNumberFormat="1" applyFont="1" applyFill="1" applyBorder="1" applyAlignment="1">
      <alignment horizontal="left" vertical="center" wrapText="1"/>
    </xf>
    <xf numFmtId="49" fontId="17" fillId="2" borderId="0" xfId="1" applyNumberFormat="1" applyFont="1" applyFill="1" applyBorder="1" applyAlignment="1">
      <alignment horizontal="left" vertical="center" wrapText="1"/>
    </xf>
    <xf numFmtId="49" fontId="18" fillId="2" borderId="0" xfId="1" applyNumberFormat="1" applyFont="1" applyFill="1" applyBorder="1" applyAlignment="1">
      <alignment horizontal="right" vertical="center"/>
    </xf>
    <xf numFmtId="49" fontId="42" fillId="0" borderId="0" xfId="1" applyNumberFormat="1" applyFont="1" applyFill="1" applyBorder="1" applyAlignment="1">
      <alignment horizontal="left" vertical="center" wrapText="1"/>
    </xf>
    <xf numFmtId="49" fontId="19" fillId="0" borderId="0" xfId="1" applyNumberFormat="1" applyFont="1" applyFill="1" applyBorder="1" applyAlignment="1">
      <alignment horizontal="left" wrapText="1"/>
    </xf>
    <xf numFmtId="49" fontId="19" fillId="0" borderId="0" xfId="1" applyNumberFormat="1" applyFont="1" applyFill="1" applyBorder="1" applyAlignment="1">
      <alignment horizontal="right" wrapText="1"/>
    </xf>
    <xf numFmtId="49" fontId="18" fillId="0" borderId="0" xfId="1" applyNumberFormat="1" applyFont="1" applyFill="1" applyBorder="1" applyAlignment="1">
      <alignment horizontal="left" wrapText="1"/>
    </xf>
    <xf numFmtId="49" fontId="43" fillId="0" borderId="26" xfId="1" applyNumberFormat="1" applyFont="1" applyFill="1" applyBorder="1" applyAlignment="1">
      <alignment horizontal="left" vertical="center" wrapText="1"/>
    </xf>
    <xf numFmtId="49" fontId="43" fillId="0" borderId="22" xfId="1" applyNumberFormat="1" applyFont="1" applyFill="1" applyBorder="1" applyAlignment="1">
      <alignment horizontal="left" vertical="center" wrapText="1"/>
    </xf>
    <xf numFmtId="49" fontId="43" fillId="0" borderId="23" xfId="1" applyNumberFormat="1" applyFont="1" applyFill="1" applyBorder="1" applyAlignment="1">
      <alignment horizontal="left" vertical="center" wrapText="1"/>
    </xf>
    <xf numFmtId="49" fontId="49" fillId="2" borderId="0" xfId="1" applyNumberFormat="1" applyFont="1" applyFill="1" applyBorder="1" applyAlignment="1">
      <alignment horizontal="left" vertical="center" wrapText="1"/>
    </xf>
    <xf numFmtId="49" fontId="43" fillId="2" borderId="0" xfId="0" applyNumberFormat="1" applyFont="1" applyFill="1" applyBorder="1" applyAlignment="1">
      <alignment horizontal="left" vertical="center" wrapText="1"/>
    </xf>
    <xf numFmtId="49" fontId="43" fillId="2" borderId="10" xfId="0" applyNumberFormat="1" applyFont="1" applyFill="1" applyBorder="1" applyAlignment="1">
      <alignment horizontal="left" vertical="center" wrapText="1"/>
    </xf>
    <xf numFmtId="49" fontId="41" fillId="2" borderId="13" xfId="1" applyNumberFormat="1" applyFont="1" applyFill="1" applyBorder="1" applyAlignment="1">
      <alignment horizontal="left" vertical="center" wrapText="1"/>
    </xf>
    <xf numFmtId="49" fontId="43" fillId="2" borderId="13" xfId="1" applyNumberFormat="1" applyFont="1" applyFill="1" applyBorder="1" applyAlignment="1">
      <alignment horizontal="left" vertical="center"/>
    </xf>
    <xf numFmtId="49" fontId="43" fillId="2" borderId="0" xfId="1" applyNumberFormat="1" applyFont="1" applyFill="1" applyBorder="1" applyAlignment="1">
      <alignment horizontal="left" vertical="center"/>
    </xf>
    <xf numFmtId="49" fontId="43" fillId="2" borderId="0" xfId="1" applyNumberFormat="1" applyFont="1" applyFill="1" applyBorder="1" applyAlignment="1">
      <alignment horizontal="right" vertical="center"/>
    </xf>
    <xf numFmtId="49" fontId="43" fillId="0" borderId="1" xfId="1" applyNumberFormat="1" applyFont="1" applyFill="1" applyBorder="1" applyAlignment="1">
      <alignment horizontal="left" vertical="center" wrapText="1"/>
    </xf>
    <xf numFmtId="49" fontId="43" fillId="0" borderId="2" xfId="1" applyNumberFormat="1" applyFont="1" applyFill="1" applyBorder="1" applyAlignment="1">
      <alignment horizontal="left" vertical="center" wrapText="1"/>
    </xf>
    <xf numFmtId="49" fontId="43" fillId="0" borderId="3" xfId="1" applyNumberFormat="1" applyFont="1" applyFill="1" applyBorder="1" applyAlignment="1">
      <alignment horizontal="left" vertical="center" wrapText="1"/>
    </xf>
    <xf numFmtId="49" fontId="43" fillId="2" borderId="0" xfId="1" applyNumberFormat="1" applyFont="1" applyFill="1" applyBorder="1" applyAlignment="1">
      <alignment horizontal="center" vertical="center"/>
    </xf>
    <xf numFmtId="49" fontId="43" fillId="2" borderId="13" xfId="1" applyNumberFormat="1" applyFont="1" applyFill="1" applyBorder="1" applyAlignment="1">
      <alignment horizontal="right" vertical="center"/>
    </xf>
    <xf numFmtId="0" fontId="45" fillId="2" borderId="0" xfId="0" applyFont="1" applyFill="1" applyAlignment="1">
      <alignment horizontal="left" vertical="center"/>
    </xf>
    <xf numFmtId="0" fontId="45" fillId="2" borderId="0" xfId="0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4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5" fillId="2" borderId="0" xfId="0" applyFont="1" applyFill="1" applyAlignment="1">
      <alignment horizontal="right" vertical="center"/>
    </xf>
    <xf numFmtId="0" fontId="45" fillId="2" borderId="0" xfId="0" applyFont="1" applyFill="1" applyBorder="1" applyAlignment="1">
      <alignment horizontal="left" vertical="center"/>
    </xf>
    <xf numFmtId="0" fontId="45" fillId="2" borderId="0" xfId="0" applyFont="1" applyFill="1" applyBorder="1" applyAlignment="1">
      <alignment vertical="center"/>
    </xf>
    <xf numFmtId="49" fontId="43" fillId="2" borderId="0" xfId="1" applyNumberFormat="1" applyFont="1" applyFill="1" applyBorder="1" applyAlignment="1">
      <alignment horizontal="left" vertical="center" wrapText="1"/>
    </xf>
    <xf numFmtId="0" fontId="45" fillId="2" borderId="13" xfId="0" applyFont="1" applyFill="1" applyBorder="1" applyAlignment="1">
      <alignment horizontal="right" vertical="center"/>
    </xf>
    <xf numFmtId="49" fontId="43" fillId="2" borderId="5" xfId="1" applyNumberFormat="1" applyFont="1" applyFill="1" applyBorder="1" applyAlignment="1">
      <alignment horizontal="right" vertical="center"/>
    </xf>
    <xf numFmtId="0" fontId="45" fillId="2" borderId="6" xfId="0" applyFont="1" applyFill="1" applyBorder="1" applyAlignment="1">
      <alignment horizontal="right" vertical="center"/>
    </xf>
    <xf numFmtId="0" fontId="45" fillId="2" borderId="13" xfId="0" applyFont="1" applyFill="1" applyBorder="1" applyAlignment="1">
      <alignment horizontal="left" vertical="center"/>
    </xf>
    <xf numFmtId="49" fontId="42" fillId="2" borderId="0" xfId="1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49" fontId="18" fillId="0" borderId="13" xfId="1" applyNumberFormat="1" applyFont="1" applyFill="1" applyBorder="1" applyAlignment="1">
      <alignment horizontal="right" vertical="center"/>
    </xf>
    <xf numFmtId="0" fontId="32" fillId="0" borderId="0" xfId="0" applyFont="1" applyBorder="1" applyAlignment="1">
      <alignment horizontal="right" vertical="center"/>
    </xf>
    <xf numFmtId="0" fontId="35" fillId="0" borderId="0" xfId="0" applyFont="1" applyAlignment="1">
      <alignment horizontal="left" vertical="center"/>
    </xf>
    <xf numFmtId="49" fontId="21" fillId="0" borderId="0" xfId="1" applyNumberFormat="1" applyFont="1" applyFill="1" applyBorder="1" applyAlignment="1">
      <alignment horizontal="left" vertical="center"/>
    </xf>
    <xf numFmtId="49" fontId="18" fillId="0" borderId="26" xfId="1" applyNumberFormat="1" applyFont="1" applyFill="1" applyBorder="1" applyAlignment="1">
      <alignment horizontal="left" vertical="center" wrapText="1"/>
    </xf>
    <xf numFmtId="49" fontId="18" fillId="0" borderId="22" xfId="1" applyNumberFormat="1" applyFont="1" applyFill="1" applyBorder="1" applyAlignment="1">
      <alignment horizontal="left" vertical="center" wrapText="1"/>
    </xf>
    <xf numFmtId="49" fontId="18" fillId="0" borderId="23" xfId="1" applyNumberFormat="1" applyFont="1" applyFill="1" applyBorder="1" applyAlignment="1">
      <alignment horizontal="left" vertical="center" wrapText="1"/>
    </xf>
    <xf numFmtId="49" fontId="17" fillId="6" borderId="40" xfId="1" applyNumberFormat="1" applyFont="1" applyFill="1" applyBorder="1" applyAlignment="1">
      <alignment horizontal="center" vertical="center" wrapText="1"/>
    </xf>
    <xf numFmtId="49" fontId="17" fillId="6" borderId="41" xfId="1" applyNumberFormat="1" applyFont="1" applyFill="1" applyBorder="1" applyAlignment="1">
      <alignment horizontal="center" vertical="center" wrapText="1"/>
    </xf>
    <xf numFmtId="49" fontId="17" fillId="6" borderId="35" xfId="1" applyNumberFormat="1" applyFont="1" applyFill="1" applyBorder="1" applyAlignment="1">
      <alignment horizontal="center" vertical="center" wrapText="1"/>
    </xf>
    <xf numFmtId="49" fontId="17" fillId="6" borderId="36" xfId="1" applyNumberFormat="1" applyFont="1" applyFill="1" applyBorder="1" applyAlignment="1">
      <alignment horizontal="center" vertical="center" wrapText="1"/>
    </xf>
    <xf numFmtId="49" fontId="18" fillId="0" borderId="36" xfId="1" applyNumberFormat="1" applyFont="1" applyFill="1" applyBorder="1" applyAlignment="1">
      <alignment horizontal="left" vertical="center" wrapText="1"/>
    </xf>
    <xf numFmtId="49" fontId="18" fillId="0" borderId="2" xfId="1" applyNumberFormat="1" applyFont="1" applyFill="1" applyBorder="1" applyAlignment="1">
      <alignment horizontal="left" vertical="center" wrapText="1"/>
    </xf>
    <xf numFmtId="49" fontId="18" fillId="0" borderId="3" xfId="1" applyNumberFormat="1" applyFont="1" applyFill="1" applyBorder="1" applyAlignment="1">
      <alignment horizontal="left" vertical="center" wrapText="1"/>
    </xf>
    <xf numFmtId="49" fontId="42" fillId="2" borderId="0" xfId="0" applyNumberFormat="1" applyFont="1" applyFill="1" applyBorder="1" applyAlignment="1">
      <alignment horizontal="left" vertical="center" wrapText="1"/>
    </xf>
    <xf numFmtId="49" fontId="17" fillId="6" borderId="31" xfId="1" applyNumberFormat="1" applyFont="1" applyFill="1" applyBorder="1" applyAlignment="1">
      <alignment horizontal="center" vertical="center" wrapText="1"/>
    </xf>
    <xf numFmtId="49" fontId="17" fillId="6" borderId="32" xfId="1" applyNumberFormat="1" applyFont="1" applyFill="1" applyBorder="1" applyAlignment="1">
      <alignment horizontal="center" vertical="center" wrapText="1"/>
    </xf>
    <xf numFmtId="49" fontId="17" fillId="6" borderId="33" xfId="1" applyNumberFormat="1" applyFont="1" applyFill="1" applyBorder="1" applyAlignment="1">
      <alignment horizontal="center" vertical="center" wrapText="1"/>
    </xf>
    <xf numFmtId="49" fontId="17" fillId="6" borderId="34" xfId="1" applyNumberFormat="1" applyFont="1" applyFill="1" applyBorder="1" applyAlignment="1">
      <alignment horizontal="center" vertical="center" wrapText="1"/>
    </xf>
    <xf numFmtId="49" fontId="18" fillId="0" borderId="0" xfId="1" applyNumberFormat="1" applyFont="1" applyFill="1" applyBorder="1" applyAlignment="1">
      <alignment horizontal="left" vertical="center" shrinkToFit="1"/>
    </xf>
    <xf numFmtId="49" fontId="18" fillId="2" borderId="20" xfId="0" applyNumberFormat="1" applyFont="1" applyFill="1" applyBorder="1" applyAlignment="1">
      <alignment horizontal="left" vertical="center"/>
    </xf>
    <xf numFmtId="49" fontId="18" fillId="2" borderId="19" xfId="0" applyNumberFormat="1" applyFont="1" applyFill="1" applyBorder="1" applyAlignment="1">
      <alignment horizontal="left" vertical="center"/>
    </xf>
    <xf numFmtId="49" fontId="18" fillId="2" borderId="19" xfId="0" applyNumberFormat="1" applyFont="1" applyFill="1" applyBorder="1" applyAlignment="1">
      <alignment horizontal="right" vertical="center"/>
    </xf>
    <xf numFmtId="49" fontId="18" fillId="2" borderId="13" xfId="0" applyNumberFormat="1" applyFont="1" applyFill="1" applyBorder="1" applyAlignment="1">
      <alignment horizontal="right" vertical="center"/>
    </xf>
    <xf numFmtId="49" fontId="19" fillId="2" borderId="0" xfId="1" applyNumberFormat="1" applyFont="1" applyFill="1" applyBorder="1" applyAlignment="1">
      <alignment horizontal="right" wrapText="1"/>
    </xf>
  </cellXfs>
  <cellStyles count="6">
    <cellStyle name="쉼표 [0]" xfId="4" builtinId="6"/>
    <cellStyle name="쉼표 [0] 2" xfId="2"/>
    <cellStyle name="표준" xfId="0" builtinId="0"/>
    <cellStyle name="표준 2" xfId="1"/>
    <cellStyle name="표준 2 2" xfId="5"/>
    <cellStyle name="표준 3" xfId="3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3333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5"/>
  <sheetViews>
    <sheetView workbookViewId="0">
      <selection activeCell="B10" sqref="B10"/>
    </sheetView>
  </sheetViews>
  <sheetFormatPr defaultRowHeight="16.5"/>
  <cols>
    <col min="1" max="1" width="24.875" style="140" bestFit="1" customWidth="1"/>
    <col min="2" max="4" width="20.5" style="140" customWidth="1"/>
    <col min="5" max="10" width="9" style="140" customWidth="1"/>
    <col min="11" max="16384" width="9" style="140"/>
  </cols>
  <sheetData>
    <row r="2" spans="1:9" ht="31.5">
      <c r="A2" s="377" t="s">
        <v>1193</v>
      </c>
      <c r="B2" s="377"/>
      <c r="C2" s="377"/>
      <c r="D2" s="377"/>
    </row>
    <row r="4" spans="1:9">
      <c r="D4" s="147" t="s">
        <v>1192</v>
      </c>
    </row>
    <row r="5" spans="1:9" s="141" customFormat="1" ht="33">
      <c r="A5" s="144" t="s">
        <v>1184</v>
      </c>
      <c r="B5" s="362" t="s">
        <v>1994</v>
      </c>
      <c r="C5" s="362" t="s">
        <v>1993</v>
      </c>
      <c r="D5" s="144" t="s">
        <v>1191</v>
      </c>
    </row>
    <row r="6" spans="1:9" ht="24.95" customHeight="1">
      <c r="A6" s="142" t="s">
        <v>823</v>
      </c>
      <c r="B6" s="146">
        <f>+SUM(B7:B13)</f>
        <v>10762417</v>
      </c>
      <c r="C6" s="146">
        <f>+SUM(C7:C13)</f>
        <v>10762417</v>
      </c>
      <c r="D6" s="260">
        <f>+SUM(D7:D13)</f>
        <v>0</v>
      </c>
    </row>
    <row r="7" spans="1:9" ht="24.95" customHeight="1">
      <c r="A7" s="143" t="s">
        <v>1185</v>
      </c>
      <c r="B7" s="145">
        <v>260501</v>
      </c>
      <c r="C7" s="145">
        <v>260501</v>
      </c>
      <c r="D7" s="261">
        <f>+B7-C7</f>
        <v>0</v>
      </c>
      <c r="G7" s="154"/>
      <c r="H7" s="154"/>
      <c r="I7" s="154"/>
    </row>
    <row r="8" spans="1:9" ht="24.95" customHeight="1">
      <c r="A8" s="143" t="s">
        <v>1186</v>
      </c>
      <c r="B8" s="145">
        <v>2397665</v>
      </c>
      <c r="C8" s="145">
        <v>2397665</v>
      </c>
      <c r="D8" s="261">
        <f t="shared" ref="D8:D13" si="0">+B8-C8</f>
        <v>0</v>
      </c>
      <c r="G8" s="154"/>
      <c r="H8" s="154"/>
      <c r="I8" s="154"/>
    </row>
    <row r="9" spans="1:9" ht="24.95" customHeight="1">
      <c r="A9" s="143" t="s">
        <v>1980</v>
      </c>
      <c r="B9" s="145">
        <v>4566160</v>
      </c>
      <c r="C9" s="145">
        <v>4566160</v>
      </c>
      <c r="D9" s="261">
        <f t="shared" si="0"/>
        <v>0</v>
      </c>
      <c r="G9" s="154"/>
      <c r="H9" s="154"/>
      <c r="I9" s="154"/>
    </row>
    <row r="10" spans="1:9" ht="24.95" customHeight="1">
      <c r="A10" s="143" t="s">
        <v>1187</v>
      </c>
      <c r="B10" s="145">
        <v>963955</v>
      </c>
      <c r="C10" s="145">
        <v>963955</v>
      </c>
      <c r="D10" s="261">
        <f t="shared" si="0"/>
        <v>0</v>
      </c>
      <c r="G10" s="154"/>
      <c r="H10" s="154"/>
      <c r="I10" s="154"/>
    </row>
    <row r="11" spans="1:9" ht="24.95" customHeight="1">
      <c r="A11" s="143" t="s">
        <v>1188</v>
      </c>
      <c r="B11" s="145">
        <v>607162</v>
      </c>
      <c r="C11" s="145">
        <v>607162</v>
      </c>
      <c r="D11" s="261">
        <f t="shared" si="0"/>
        <v>0</v>
      </c>
      <c r="G11" s="154"/>
      <c r="H11" s="154"/>
      <c r="I11" s="154"/>
    </row>
    <row r="12" spans="1:9" ht="24.95" customHeight="1">
      <c r="A12" s="143" t="s">
        <v>1189</v>
      </c>
      <c r="B12" s="145">
        <v>1948380</v>
      </c>
      <c r="C12" s="145">
        <v>1948380</v>
      </c>
      <c r="D12" s="261">
        <f t="shared" si="0"/>
        <v>0</v>
      </c>
      <c r="G12" s="154"/>
      <c r="H12" s="154"/>
      <c r="I12" s="154"/>
    </row>
    <row r="13" spans="1:9" ht="24.95" customHeight="1">
      <c r="A13" s="143" t="s">
        <v>1190</v>
      </c>
      <c r="B13" s="145">
        <v>18594</v>
      </c>
      <c r="C13" s="145">
        <v>18594</v>
      </c>
      <c r="D13" s="261">
        <f t="shared" si="0"/>
        <v>0</v>
      </c>
      <c r="G13" s="154"/>
      <c r="H13" s="154"/>
      <c r="I13" s="154"/>
    </row>
    <row r="15" spans="1:9">
      <c r="B15" s="154"/>
      <c r="C15" s="154"/>
      <c r="D15" s="154"/>
    </row>
  </sheetData>
  <mergeCells count="1">
    <mergeCell ref="A2:D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23"/>
  <sheetViews>
    <sheetView zoomScaleNormal="100" workbookViewId="0">
      <selection activeCell="E33" sqref="E33:I33"/>
    </sheetView>
  </sheetViews>
  <sheetFormatPr defaultRowHeight="20.100000000000001" customHeight="1"/>
  <cols>
    <col min="1" max="8" width="1.625" style="82" customWidth="1"/>
    <col min="9" max="9" width="37.625" style="82" customWidth="1"/>
    <col min="10" max="10" width="23.625" style="82" customWidth="1"/>
    <col min="11" max="11" width="2.625" style="82" customWidth="1"/>
    <col min="12" max="12" width="10.625" style="82" customWidth="1"/>
    <col min="13" max="15" width="10.875" style="82" customWidth="1"/>
    <col min="16" max="16" width="0.875" style="181" hidden="1" customWidth="1"/>
    <col min="17" max="17" width="30.625" style="82" customWidth="1"/>
    <col min="18" max="18" width="20.625" style="82" customWidth="1"/>
    <col min="19" max="242" width="9" style="82"/>
    <col min="243" max="249" width="1" style="82" customWidth="1"/>
    <col min="250" max="250" width="0.5" style="82" customWidth="1"/>
    <col min="251" max="251" width="31.25" style="82" customWidth="1"/>
    <col min="252" max="252" width="33.5" style="82" customWidth="1"/>
    <col min="253" max="253" width="2.625" style="82" customWidth="1"/>
    <col min="254" max="257" width="10.375" style="82" customWidth="1"/>
    <col min="258" max="260" width="0" style="82" hidden="1" customWidth="1"/>
    <col min="261" max="263" width="12.25" style="82" bestFit="1" customWidth="1"/>
    <col min="264" max="264" width="9" style="82"/>
    <col min="265" max="265" width="11" style="82" bestFit="1" customWidth="1"/>
    <col min="266" max="498" width="9" style="82"/>
    <col min="499" max="505" width="1" style="82" customWidth="1"/>
    <col min="506" max="506" width="0.5" style="82" customWidth="1"/>
    <col min="507" max="507" width="31.25" style="82" customWidth="1"/>
    <col min="508" max="508" width="33.5" style="82" customWidth="1"/>
    <col min="509" max="509" width="2.625" style="82" customWidth="1"/>
    <col min="510" max="513" width="10.375" style="82" customWidth="1"/>
    <col min="514" max="516" width="0" style="82" hidden="1" customWidth="1"/>
    <col min="517" max="519" width="12.25" style="82" bestFit="1" customWidth="1"/>
    <col min="520" max="520" width="9" style="82"/>
    <col min="521" max="521" width="11" style="82" bestFit="1" customWidth="1"/>
    <col min="522" max="754" width="9" style="82"/>
    <col min="755" max="761" width="1" style="82" customWidth="1"/>
    <col min="762" max="762" width="0.5" style="82" customWidth="1"/>
    <col min="763" max="763" width="31.25" style="82" customWidth="1"/>
    <col min="764" max="764" width="33.5" style="82" customWidth="1"/>
    <col min="765" max="765" width="2.625" style="82" customWidth="1"/>
    <col min="766" max="769" width="10.375" style="82" customWidth="1"/>
    <col min="770" max="772" width="0" style="82" hidden="1" customWidth="1"/>
    <col min="773" max="775" width="12.25" style="82" bestFit="1" customWidth="1"/>
    <col min="776" max="776" width="9" style="82"/>
    <col min="777" max="777" width="11" style="82" bestFit="1" customWidth="1"/>
    <col min="778" max="1010" width="9" style="82"/>
    <col min="1011" max="1017" width="1" style="82" customWidth="1"/>
    <col min="1018" max="1018" width="0.5" style="82" customWidth="1"/>
    <col min="1019" max="1019" width="31.25" style="82" customWidth="1"/>
    <col min="1020" max="1020" width="33.5" style="82" customWidth="1"/>
    <col min="1021" max="1021" width="2.625" style="82" customWidth="1"/>
    <col min="1022" max="1025" width="10.375" style="82" customWidth="1"/>
    <col min="1026" max="1028" width="0" style="82" hidden="1" customWidth="1"/>
    <col min="1029" max="1031" width="12.25" style="82" bestFit="1" customWidth="1"/>
    <col min="1032" max="1032" width="9" style="82"/>
    <col min="1033" max="1033" width="11" style="82" bestFit="1" customWidth="1"/>
    <col min="1034" max="1266" width="9" style="82"/>
    <col min="1267" max="1273" width="1" style="82" customWidth="1"/>
    <col min="1274" max="1274" width="0.5" style="82" customWidth="1"/>
    <col min="1275" max="1275" width="31.25" style="82" customWidth="1"/>
    <col min="1276" max="1276" width="33.5" style="82" customWidth="1"/>
    <col min="1277" max="1277" width="2.625" style="82" customWidth="1"/>
    <col min="1278" max="1281" width="10.375" style="82" customWidth="1"/>
    <col min="1282" max="1284" width="0" style="82" hidden="1" customWidth="1"/>
    <col min="1285" max="1287" width="12.25" style="82" bestFit="1" customWidth="1"/>
    <col min="1288" max="1288" width="9" style="82"/>
    <col min="1289" max="1289" width="11" style="82" bestFit="1" customWidth="1"/>
    <col min="1290" max="1522" width="9" style="82"/>
    <col min="1523" max="1529" width="1" style="82" customWidth="1"/>
    <col min="1530" max="1530" width="0.5" style="82" customWidth="1"/>
    <col min="1531" max="1531" width="31.25" style="82" customWidth="1"/>
    <col min="1532" max="1532" width="33.5" style="82" customWidth="1"/>
    <col min="1533" max="1533" width="2.625" style="82" customWidth="1"/>
    <col min="1534" max="1537" width="10.375" style="82" customWidth="1"/>
    <col min="1538" max="1540" width="0" style="82" hidden="1" customWidth="1"/>
    <col min="1541" max="1543" width="12.25" style="82" bestFit="1" customWidth="1"/>
    <col min="1544" max="1544" width="9" style="82"/>
    <col min="1545" max="1545" width="11" style="82" bestFit="1" customWidth="1"/>
    <col min="1546" max="1778" width="9" style="82"/>
    <col min="1779" max="1785" width="1" style="82" customWidth="1"/>
    <col min="1786" max="1786" width="0.5" style="82" customWidth="1"/>
    <col min="1787" max="1787" width="31.25" style="82" customWidth="1"/>
    <col min="1788" max="1788" width="33.5" style="82" customWidth="1"/>
    <col min="1789" max="1789" width="2.625" style="82" customWidth="1"/>
    <col min="1790" max="1793" width="10.375" style="82" customWidth="1"/>
    <col min="1794" max="1796" width="0" style="82" hidden="1" customWidth="1"/>
    <col min="1797" max="1799" width="12.25" style="82" bestFit="1" customWidth="1"/>
    <col min="1800" max="1800" width="9" style="82"/>
    <col min="1801" max="1801" width="11" style="82" bestFit="1" customWidth="1"/>
    <col min="1802" max="2034" width="9" style="82"/>
    <col min="2035" max="2041" width="1" style="82" customWidth="1"/>
    <col min="2042" max="2042" width="0.5" style="82" customWidth="1"/>
    <col min="2043" max="2043" width="31.25" style="82" customWidth="1"/>
    <col min="2044" max="2044" width="33.5" style="82" customWidth="1"/>
    <col min="2045" max="2045" width="2.625" style="82" customWidth="1"/>
    <col min="2046" max="2049" width="10.375" style="82" customWidth="1"/>
    <col min="2050" max="2052" width="0" style="82" hidden="1" customWidth="1"/>
    <col min="2053" max="2055" width="12.25" style="82" bestFit="1" customWidth="1"/>
    <col min="2056" max="2056" width="9" style="82"/>
    <col min="2057" max="2057" width="11" style="82" bestFit="1" customWidth="1"/>
    <col min="2058" max="2290" width="9" style="82"/>
    <col min="2291" max="2297" width="1" style="82" customWidth="1"/>
    <col min="2298" max="2298" width="0.5" style="82" customWidth="1"/>
    <col min="2299" max="2299" width="31.25" style="82" customWidth="1"/>
    <col min="2300" max="2300" width="33.5" style="82" customWidth="1"/>
    <col min="2301" max="2301" width="2.625" style="82" customWidth="1"/>
    <col min="2302" max="2305" width="10.375" style="82" customWidth="1"/>
    <col min="2306" max="2308" width="0" style="82" hidden="1" customWidth="1"/>
    <col min="2309" max="2311" width="12.25" style="82" bestFit="1" customWidth="1"/>
    <col min="2312" max="2312" width="9" style="82"/>
    <col min="2313" max="2313" width="11" style="82" bestFit="1" customWidth="1"/>
    <col min="2314" max="2546" width="9" style="82"/>
    <col min="2547" max="2553" width="1" style="82" customWidth="1"/>
    <col min="2554" max="2554" width="0.5" style="82" customWidth="1"/>
    <col min="2555" max="2555" width="31.25" style="82" customWidth="1"/>
    <col min="2556" max="2556" width="33.5" style="82" customWidth="1"/>
    <col min="2557" max="2557" width="2.625" style="82" customWidth="1"/>
    <col min="2558" max="2561" width="10.375" style="82" customWidth="1"/>
    <col min="2562" max="2564" width="0" style="82" hidden="1" customWidth="1"/>
    <col min="2565" max="2567" width="12.25" style="82" bestFit="1" customWidth="1"/>
    <col min="2568" max="2568" width="9" style="82"/>
    <col min="2569" max="2569" width="11" style="82" bestFit="1" customWidth="1"/>
    <col min="2570" max="2802" width="9" style="82"/>
    <col min="2803" max="2809" width="1" style="82" customWidth="1"/>
    <col min="2810" max="2810" width="0.5" style="82" customWidth="1"/>
    <col min="2811" max="2811" width="31.25" style="82" customWidth="1"/>
    <col min="2812" max="2812" width="33.5" style="82" customWidth="1"/>
    <col min="2813" max="2813" width="2.625" style="82" customWidth="1"/>
    <col min="2814" max="2817" width="10.375" style="82" customWidth="1"/>
    <col min="2818" max="2820" width="0" style="82" hidden="1" customWidth="1"/>
    <col min="2821" max="2823" width="12.25" style="82" bestFit="1" customWidth="1"/>
    <col min="2824" max="2824" width="9" style="82"/>
    <col min="2825" max="2825" width="11" style="82" bestFit="1" customWidth="1"/>
    <col min="2826" max="3058" width="9" style="82"/>
    <col min="3059" max="3065" width="1" style="82" customWidth="1"/>
    <col min="3066" max="3066" width="0.5" style="82" customWidth="1"/>
    <col min="3067" max="3067" width="31.25" style="82" customWidth="1"/>
    <col min="3068" max="3068" width="33.5" style="82" customWidth="1"/>
    <col min="3069" max="3069" width="2.625" style="82" customWidth="1"/>
    <col min="3070" max="3073" width="10.375" style="82" customWidth="1"/>
    <col min="3074" max="3076" width="0" style="82" hidden="1" customWidth="1"/>
    <col min="3077" max="3079" width="12.25" style="82" bestFit="1" customWidth="1"/>
    <col min="3080" max="3080" width="9" style="82"/>
    <col min="3081" max="3081" width="11" style="82" bestFit="1" customWidth="1"/>
    <col min="3082" max="3314" width="9" style="82"/>
    <col min="3315" max="3321" width="1" style="82" customWidth="1"/>
    <col min="3322" max="3322" width="0.5" style="82" customWidth="1"/>
    <col min="3323" max="3323" width="31.25" style="82" customWidth="1"/>
    <col min="3324" max="3324" width="33.5" style="82" customWidth="1"/>
    <col min="3325" max="3325" width="2.625" style="82" customWidth="1"/>
    <col min="3326" max="3329" width="10.375" style="82" customWidth="1"/>
    <col min="3330" max="3332" width="0" style="82" hidden="1" customWidth="1"/>
    <col min="3333" max="3335" width="12.25" style="82" bestFit="1" customWidth="1"/>
    <col min="3336" max="3336" width="9" style="82"/>
    <col min="3337" max="3337" width="11" style="82" bestFit="1" customWidth="1"/>
    <col min="3338" max="3570" width="9" style="82"/>
    <col min="3571" max="3577" width="1" style="82" customWidth="1"/>
    <col min="3578" max="3578" width="0.5" style="82" customWidth="1"/>
    <col min="3579" max="3579" width="31.25" style="82" customWidth="1"/>
    <col min="3580" max="3580" width="33.5" style="82" customWidth="1"/>
    <col min="3581" max="3581" width="2.625" style="82" customWidth="1"/>
    <col min="3582" max="3585" width="10.375" style="82" customWidth="1"/>
    <col min="3586" max="3588" width="0" style="82" hidden="1" customWidth="1"/>
    <col min="3589" max="3591" width="12.25" style="82" bestFit="1" customWidth="1"/>
    <col min="3592" max="3592" width="9" style="82"/>
    <col min="3593" max="3593" width="11" style="82" bestFit="1" customWidth="1"/>
    <col min="3594" max="3826" width="9" style="82"/>
    <col min="3827" max="3833" width="1" style="82" customWidth="1"/>
    <col min="3834" max="3834" width="0.5" style="82" customWidth="1"/>
    <col min="3835" max="3835" width="31.25" style="82" customWidth="1"/>
    <col min="3836" max="3836" width="33.5" style="82" customWidth="1"/>
    <col min="3837" max="3837" width="2.625" style="82" customWidth="1"/>
    <col min="3838" max="3841" width="10.375" style="82" customWidth="1"/>
    <col min="3842" max="3844" width="0" style="82" hidden="1" customWidth="1"/>
    <col min="3845" max="3847" width="12.25" style="82" bestFit="1" customWidth="1"/>
    <col min="3848" max="3848" width="9" style="82"/>
    <col min="3849" max="3849" width="11" style="82" bestFit="1" customWidth="1"/>
    <col min="3850" max="4082" width="9" style="82"/>
    <col min="4083" max="4089" width="1" style="82" customWidth="1"/>
    <col min="4090" max="4090" width="0.5" style="82" customWidth="1"/>
    <col min="4091" max="4091" width="31.25" style="82" customWidth="1"/>
    <col min="4092" max="4092" width="33.5" style="82" customWidth="1"/>
    <col min="4093" max="4093" width="2.625" style="82" customWidth="1"/>
    <col min="4094" max="4097" width="10.375" style="82" customWidth="1"/>
    <col min="4098" max="4100" width="0" style="82" hidden="1" customWidth="1"/>
    <col min="4101" max="4103" width="12.25" style="82" bestFit="1" customWidth="1"/>
    <col min="4104" max="4104" width="9" style="82"/>
    <col min="4105" max="4105" width="11" style="82" bestFit="1" customWidth="1"/>
    <col min="4106" max="4338" width="9" style="82"/>
    <col min="4339" max="4345" width="1" style="82" customWidth="1"/>
    <col min="4346" max="4346" width="0.5" style="82" customWidth="1"/>
    <col min="4347" max="4347" width="31.25" style="82" customWidth="1"/>
    <col min="4348" max="4348" width="33.5" style="82" customWidth="1"/>
    <col min="4349" max="4349" width="2.625" style="82" customWidth="1"/>
    <col min="4350" max="4353" width="10.375" style="82" customWidth="1"/>
    <col min="4354" max="4356" width="0" style="82" hidden="1" customWidth="1"/>
    <col min="4357" max="4359" width="12.25" style="82" bestFit="1" customWidth="1"/>
    <col min="4360" max="4360" width="9" style="82"/>
    <col min="4361" max="4361" width="11" style="82" bestFit="1" customWidth="1"/>
    <col min="4362" max="4594" width="9" style="82"/>
    <col min="4595" max="4601" width="1" style="82" customWidth="1"/>
    <col min="4602" max="4602" width="0.5" style="82" customWidth="1"/>
    <col min="4603" max="4603" width="31.25" style="82" customWidth="1"/>
    <col min="4604" max="4604" width="33.5" style="82" customWidth="1"/>
    <col min="4605" max="4605" width="2.625" style="82" customWidth="1"/>
    <col min="4606" max="4609" width="10.375" style="82" customWidth="1"/>
    <col min="4610" max="4612" width="0" style="82" hidden="1" customWidth="1"/>
    <col min="4613" max="4615" width="12.25" style="82" bestFit="1" customWidth="1"/>
    <col min="4616" max="4616" width="9" style="82"/>
    <col min="4617" max="4617" width="11" style="82" bestFit="1" customWidth="1"/>
    <col min="4618" max="4850" width="9" style="82"/>
    <col min="4851" max="4857" width="1" style="82" customWidth="1"/>
    <col min="4858" max="4858" width="0.5" style="82" customWidth="1"/>
    <col min="4859" max="4859" width="31.25" style="82" customWidth="1"/>
    <col min="4860" max="4860" width="33.5" style="82" customWidth="1"/>
    <col min="4861" max="4861" width="2.625" style="82" customWidth="1"/>
    <col min="4862" max="4865" width="10.375" style="82" customWidth="1"/>
    <col min="4866" max="4868" width="0" style="82" hidden="1" customWidth="1"/>
    <col min="4869" max="4871" width="12.25" style="82" bestFit="1" customWidth="1"/>
    <col min="4872" max="4872" width="9" style="82"/>
    <col min="4873" max="4873" width="11" style="82" bestFit="1" customWidth="1"/>
    <col min="4874" max="5106" width="9" style="82"/>
    <col min="5107" max="5113" width="1" style="82" customWidth="1"/>
    <col min="5114" max="5114" width="0.5" style="82" customWidth="1"/>
    <col min="5115" max="5115" width="31.25" style="82" customWidth="1"/>
    <col min="5116" max="5116" width="33.5" style="82" customWidth="1"/>
    <col min="5117" max="5117" width="2.625" style="82" customWidth="1"/>
    <col min="5118" max="5121" width="10.375" style="82" customWidth="1"/>
    <col min="5122" max="5124" width="0" style="82" hidden="1" customWidth="1"/>
    <col min="5125" max="5127" width="12.25" style="82" bestFit="1" customWidth="1"/>
    <col min="5128" max="5128" width="9" style="82"/>
    <col min="5129" max="5129" width="11" style="82" bestFit="1" customWidth="1"/>
    <col min="5130" max="5362" width="9" style="82"/>
    <col min="5363" max="5369" width="1" style="82" customWidth="1"/>
    <col min="5370" max="5370" width="0.5" style="82" customWidth="1"/>
    <col min="5371" max="5371" width="31.25" style="82" customWidth="1"/>
    <col min="5372" max="5372" width="33.5" style="82" customWidth="1"/>
    <col min="5373" max="5373" width="2.625" style="82" customWidth="1"/>
    <col min="5374" max="5377" width="10.375" style="82" customWidth="1"/>
    <col min="5378" max="5380" width="0" style="82" hidden="1" customWidth="1"/>
    <col min="5381" max="5383" width="12.25" style="82" bestFit="1" customWidth="1"/>
    <col min="5384" max="5384" width="9" style="82"/>
    <col min="5385" max="5385" width="11" style="82" bestFit="1" customWidth="1"/>
    <col min="5386" max="5618" width="9" style="82"/>
    <col min="5619" max="5625" width="1" style="82" customWidth="1"/>
    <col min="5626" max="5626" width="0.5" style="82" customWidth="1"/>
    <col min="5627" max="5627" width="31.25" style="82" customWidth="1"/>
    <col min="5628" max="5628" width="33.5" style="82" customWidth="1"/>
    <col min="5629" max="5629" width="2.625" style="82" customWidth="1"/>
    <col min="5630" max="5633" width="10.375" style="82" customWidth="1"/>
    <col min="5634" max="5636" width="0" style="82" hidden="1" customWidth="1"/>
    <col min="5637" max="5639" width="12.25" style="82" bestFit="1" customWidth="1"/>
    <col min="5640" max="5640" width="9" style="82"/>
    <col min="5641" max="5641" width="11" style="82" bestFit="1" customWidth="1"/>
    <col min="5642" max="5874" width="9" style="82"/>
    <col min="5875" max="5881" width="1" style="82" customWidth="1"/>
    <col min="5882" max="5882" width="0.5" style="82" customWidth="1"/>
    <col min="5883" max="5883" width="31.25" style="82" customWidth="1"/>
    <col min="5884" max="5884" width="33.5" style="82" customWidth="1"/>
    <col min="5885" max="5885" width="2.625" style="82" customWidth="1"/>
    <col min="5886" max="5889" width="10.375" style="82" customWidth="1"/>
    <col min="5890" max="5892" width="0" style="82" hidden="1" customWidth="1"/>
    <col min="5893" max="5895" width="12.25" style="82" bestFit="1" customWidth="1"/>
    <col min="5896" max="5896" width="9" style="82"/>
    <col min="5897" max="5897" width="11" style="82" bestFit="1" customWidth="1"/>
    <col min="5898" max="6130" width="9" style="82"/>
    <col min="6131" max="6137" width="1" style="82" customWidth="1"/>
    <col min="6138" max="6138" width="0.5" style="82" customWidth="1"/>
    <col min="6139" max="6139" width="31.25" style="82" customWidth="1"/>
    <col min="6140" max="6140" width="33.5" style="82" customWidth="1"/>
    <col min="6141" max="6141" width="2.625" style="82" customWidth="1"/>
    <col min="6142" max="6145" width="10.375" style="82" customWidth="1"/>
    <col min="6146" max="6148" width="0" style="82" hidden="1" customWidth="1"/>
    <col min="6149" max="6151" width="12.25" style="82" bestFit="1" customWidth="1"/>
    <col min="6152" max="6152" width="9" style="82"/>
    <col min="6153" max="6153" width="11" style="82" bestFit="1" customWidth="1"/>
    <col min="6154" max="6386" width="9" style="82"/>
    <col min="6387" max="6393" width="1" style="82" customWidth="1"/>
    <col min="6394" max="6394" width="0.5" style="82" customWidth="1"/>
    <col min="6395" max="6395" width="31.25" style="82" customWidth="1"/>
    <col min="6396" max="6396" width="33.5" style="82" customWidth="1"/>
    <col min="6397" max="6397" width="2.625" style="82" customWidth="1"/>
    <col min="6398" max="6401" width="10.375" style="82" customWidth="1"/>
    <col min="6402" max="6404" width="0" style="82" hidden="1" customWidth="1"/>
    <col min="6405" max="6407" width="12.25" style="82" bestFit="1" customWidth="1"/>
    <col min="6408" max="6408" width="9" style="82"/>
    <col min="6409" max="6409" width="11" style="82" bestFit="1" customWidth="1"/>
    <col min="6410" max="6642" width="9" style="82"/>
    <col min="6643" max="6649" width="1" style="82" customWidth="1"/>
    <col min="6650" max="6650" width="0.5" style="82" customWidth="1"/>
    <col min="6651" max="6651" width="31.25" style="82" customWidth="1"/>
    <col min="6652" max="6652" width="33.5" style="82" customWidth="1"/>
    <col min="6653" max="6653" width="2.625" style="82" customWidth="1"/>
    <col min="6654" max="6657" width="10.375" style="82" customWidth="1"/>
    <col min="6658" max="6660" width="0" style="82" hidden="1" customWidth="1"/>
    <col min="6661" max="6663" width="12.25" style="82" bestFit="1" customWidth="1"/>
    <col min="6664" max="6664" width="9" style="82"/>
    <col min="6665" max="6665" width="11" style="82" bestFit="1" customWidth="1"/>
    <col min="6666" max="6898" width="9" style="82"/>
    <col min="6899" max="6905" width="1" style="82" customWidth="1"/>
    <col min="6906" max="6906" width="0.5" style="82" customWidth="1"/>
    <col min="6907" max="6907" width="31.25" style="82" customWidth="1"/>
    <col min="6908" max="6908" width="33.5" style="82" customWidth="1"/>
    <col min="6909" max="6909" width="2.625" style="82" customWidth="1"/>
    <col min="6910" max="6913" width="10.375" style="82" customWidth="1"/>
    <col min="6914" max="6916" width="0" style="82" hidden="1" customWidth="1"/>
    <col min="6917" max="6919" width="12.25" style="82" bestFit="1" customWidth="1"/>
    <col min="6920" max="6920" width="9" style="82"/>
    <col min="6921" max="6921" width="11" style="82" bestFit="1" customWidth="1"/>
    <col min="6922" max="7154" width="9" style="82"/>
    <col min="7155" max="7161" width="1" style="82" customWidth="1"/>
    <col min="7162" max="7162" width="0.5" style="82" customWidth="1"/>
    <col min="7163" max="7163" width="31.25" style="82" customWidth="1"/>
    <col min="7164" max="7164" width="33.5" style="82" customWidth="1"/>
    <col min="7165" max="7165" width="2.625" style="82" customWidth="1"/>
    <col min="7166" max="7169" width="10.375" style="82" customWidth="1"/>
    <col min="7170" max="7172" width="0" style="82" hidden="1" customWidth="1"/>
    <col min="7173" max="7175" width="12.25" style="82" bestFit="1" customWidth="1"/>
    <col min="7176" max="7176" width="9" style="82"/>
    <col min="7177" max="7177" width="11" style="82" bestFit="1" customWidth="1"/>
    <col min="7178" max="7410" width="9" style="82"/>
    <col min="7411" max="7417" width="1" style="82" customWidth="1"/>
    <col min="7418" max="7418" width="0.5" style="82" customWidth="1"/>
    <col min="7419" max="7419" width="31.25" style="82" customWidth="1"/>
    <col min="7420" max="7420" width="33.5" style="82" customWidth="1"/>
    <col min="7421" max="7421" width="2.625" style="82" customWidth="1"/>
    <col min="7422" max="7425" width="10.375" style="82" customWidth="1"/>
    <col min="7426" max="7428" width="0" style="82" hidden="1" customWidth="1"/>
    <col min="7429" max="7431" width="12.25" style="82" bestFit="1" customWidth="1"/>
    <col min="7432" max="7432" width="9" style="82"/>
    <col min="7433" max="7433" width="11" style="82" bestFit="1" customWidth="1"/>
    <col min="7434" max="7666" width="9" style="82"/>
    <col min="7667" max="7673" width="1" style="82" customWidth="1"/>
    <col min="7674" max="7674" width="0.5" style="82" customWidth="1"/>
    <col min="7675" max="7675" width="31.25" style="82" customWidth="1"/>
    <col min="7676" max="7676" width="33.5" style="82" customWidth="1"/>
    <col min="7677" max="7677" width="2.625" style="82" customWidth="1"/>
    <col min="7678" max="7681" width="10.375" style="82" customWidth="1"/>
    <col min="7682" max="7684" width="0" style="82" hidden="1" customWidth="1"/>
    <col min="7685" max="7687" width="12.25" style="82" bestFit="1" customWidth="1"/>
    <col min="7688" max="7688" width="9" style="82"/>
    <col min="7689" max="7689" width="11" style="82" bestFit="1" customWidth="1"/>
    <col min="7690" max="7922" width="9" style="82"/>
    <col min="7923" max="7929" width="1" style="82" customWidth="1"/>
    <col min="7930" max="7930" width="0.5" style="82" customWidth="1"/>
    <col min="7931" max="7931" width="31.25" style="82" customWidth="1"/>
    <col min="7932" max="7932" width="33.5" style="82" customWidth="1"/>
    <col min="7933" max="7933" width="2.625" style="82" customWidth="1"/>
    <col min="7934" max="7937" width="10.375" style="82" customWidth="1"/>
    <col min="7938" max="7940" width="0" style="82" hidden="1" customWidth="1"/>
    <col min="7941" max="7943" width="12.25" style="82" bestFit="1" customWidth="1"/>
    <col min="7944" max="7944" width="9" style="82"/>
    <col min="7945" max="7945" width="11" style="82" bestFit="1" customWidth="1"/>
    <col min="7946" max="8178" width="9" style="82"/>
    <col min="8179" max="8185" width="1" style="82" customWidth="1"/>
    <col min="8186" max="8186" width="0.5" style="82" customWidth="1"/>
    <col min="8187" max="8187" width="31.25" style="82" customWidth="1"/>
    <col min="8188" max="8188" width="33.5" style="82" customWidth="1"/>
    <col min="8189" max="8189" width="2.625" style="82" customWidth="1"/>
    <col min="8190" max="8193" width="10.375" style="82" customWidth="1"/>
    <col min="8194" max="8196" width="0" style="82" hidden="1" customWidth="1"/>
    <col min="8197" max="8199" width="12.25" style="82" bestFit="1" customWidth="1"/>
    <col min="8200" max="8200" width="9" style="82"/>
    <col min="8201" max="8201" width="11" style="82" bestFit="1" customWidth="1"/>
    <col min="8202" max="8434" width="9" style="82"/>
    <col min="8435" max="8441" width="1" style="82" customWidth="1"/>
    <col min="8442" max="8442" width="0.5" style="82" customWidth="1"/>
    <col min="8443" max="8443" width="31.25" style="82" customWidth="1"/>
    <col min="8444" max="8444" width="33.5" style="82" customWidth="1"/>
    <col min="8445" max="8445" width="2.625" style="82" customWidth="1"/>
    <col min="8446" max="8449" width="10.375" style="82" customWidth="1"/>
    <col min="8450" max="8452" width="0" style="82" hidden="1" customWidth="1"/>
    <col min="8453" max="8455" width="12.25" style="82" bestFit="1" customWidth="1"/>
    <col min="8456" max="8456" width="9" style="82"/>
    <col min="8457" max="8457" width="11" style="82" bestFit="1" customWidth="1"/>
    <col min="8458" max="8690" width="9" style="82"/>
    <col min="8691" max="8697" width="1" style="82" customWidth="1"/>
    <col min="8698" max="8698" width="0.5" style="82" customWidth="1"/>
    <col min="8699" max="8699" width="31.25" style="82" customWidth="1"/>
    <col min="8700" max="8700" width="33.5" style="82" customWidth="1"/>
    <col min="8701" max="8701" width="2.625" style="82" customWidth="1"/>
    <col min="8702" max="8705" width="10.375" style="82" customWidth="1"/>
    <col min="8706" max="8708" width="0" style="82" hidden="1" customWidth="1"/>
    <col min="8709" max="8711" width="12.25" style="82" bestFit="1" customWidth="1"/>
    <col min="8712" max="8712" width="9" style="82"/>
    <col min="8713" max="8713" width="11" style="82" bestFit="1" customWidth="1"/>
    <col min="8714" max="8946" width="9" style="82"/>
    <col min="8947" max="8953" width="1" style="82" customWidth="1"/>
    <col min="8954" max="8954" width="0.5" style="82" customWidth="1"/>
    <col min="8955" max="8955" width="31.25" style="82" customWidth="1"/>
    <col min="8956" max="8956" width="33.5" style="82" customWidth="1"/>
    <col min="8957" max="8957" width="2.625" style="82" customWidth="1"/>
    <col min="8958" max="8961" width="10.375" style="82" customWidth="1"/>
    <col min="8962" max="8964" width="0" style="82" hidden="1" customWidth="1"/>
    <col min="8965" max="8967" width="12.25" style="82" bestFit="1" customWidth="1"/>
    <col min="8968" max="8968" width="9" style="82"/>
    <col min="8969" max="8969" width="11" style="82" bestFit="1" customWidth="1"/>
    <col min="8970" max="9202" width="9" style="82"/>
    <col min="9203" max="9209" width="1" style="82" customWidth="1"/>
    <col min="9210" max="9210" width="0.5" style="82" customWidth="1"/>
    <col min="9211" max="9211" width="31.25" style="82" customWidth="1"/>
    <col min="9212" max="9212" width="33.5" style="82" customWidth="1"/>
    <col min="9213" max="9213" width="2.625" style="82" customWidth="1"/>
    <col min="9214" max="9217" width="10.375" style="82" customWidth="1"/>
    <col min="9218" max="9220" width="0" style="82" hidden="1" customWidth="1"/>
    <col min="9221" max="9223" width="12.25" style="82" bestFit="1" customWidth="1"/>
    <col min="9224" max="9224" width="9" style="82"/>
    <col min="9225" max="9225" width="11" style="82" bestFit="1" customWidth="1"/>
    <col min="9226" max="9458" width="9" style="82"/>
    <col min="9459" max="9465" width="1" style="82" customWidth="1"/>
    <col min="9466" max="9466" width="0.5" style="82" customWidth="1"/>
    <col min="9467" max="9467" width="31.25" style="82" customWidth="1"/>
    <col min="9468" max="9468" width="33.5" style="82" customWidth="1"/>
    <col min="9469" max="9469" width="2.625" style="82" customWidth="1"/>
    <col min="9470" max="9473" width="10.375" style="82" customWidth="1"/>
    <col min="9474" max="9476" width="0" style="82" hidden="1" customWidth="1"/>
    <col min="9477" max="9479" width="12.25" style="82" bestFit="1" customWidth="1"/>
    <col min="9480" max="9480" width="9" style="82"/>
    <col min="9481" max="9481" width="11" style="82" bestFit="1" customWidth="1"/>
    <col min="9482" max="9714" width="9" style="82"/>
    <col min="9715" max="9721" width="1" style="82" customWidth="1"/>
    <col min="9722" max="9722" width="0.5" style="82" customWidth="1"/>
    <col min="9723" max="9723" width="31.25" style="82" customWidth="1"/>
    <col min="9724" max="9724" width="33.5" style="82" customWidth="1"/>
    <col min="9725" max="9725" width="2.625" style="82" customWidth="1"/>
    <col min="9726" max="9729" width="10.375" style="82" customWidth="1"/>
    <col min="9730" max="9732" width="0" style="82" hidden="1" customWidth="1"/>
    <col min="9733" max="9735" width="12.25" style="82" bestFit="1" customWidth="1"/>
    <col min="9736" max="9736" width="9" style="82"/>
    <col min="9737" max="9737" width="11" style="82" bestFit="1" customWidth="1"/>
    <col min="9738" max="9970" width="9" style="82"/>
    <col min="9971" max="9977" width="1" style="82" customWidth="1"/>
    <col min="9978" max="9978" width="0.5" style="82" customWidth="1"/>
    <col min="9979" max="9979" width="31.25" style="82" customWidth="1"/>
    <col min="9980" max="9980" width="33.5" style="82" customWidth="1"/>
    <col min="9981" max="9981" width="2.625" style="82" customWidth="1"/>
    <col min="9982" max="9985" width="10.375" style="82" customWidth="1"/>
    <col min="9986" max="9988" width="0" style="82" hidden="1" customWidth="1"/>
    <col min="9989" max="9991" width="12.25" style="82" bestFit="1" customWidth="1"/>
    <col min="9992" max="9992" width="9" style="82"/>
    <col min="9993" max="9993" width="11" style="82" bestFit="1" customWidth="1"/>
    <col min="9994" max="10226" width="9" style="82"/>
    <col min="10227" max="10233" width="1" style="82" customWidth="1"/>
    <col min="10234" max="10234" width="0.5" style="82" customWidth="1"/>
    <col min="10235" max="10235" width="31.25" style="82" customWidth="1"/>
    <col min="10236" max="10236" width="33.5" style="82" customWidth="1"/>
    <col min="10237" max="10237" width="2.625" style="82" customWidth="1"/>
    <col min="10238" max="10241" width="10.375" style="82" customWidth="1"/>
    <col min="10242" max="10244" width="0" style="82" hidden="1" customWidth="1"/>
    <col min="10245" max="10247" width="12.25" style="82" bestFit="1" customWidth="1"/>
    <col min="10248" max="10248" width="9" style="82"/>
    <col min="10249" max="10249" width="11" style="82" bestFit="1" customWidth="1"/>
    <col min="10250" max="10482" width="9" style="82"/>
    <col min="10483" max="10489" width="1" style="82" customWidth="1"/>
    <col min="10490" max="10490" width="0.5" style="82" customWidth="1"/>
    <col min="10491" max="10491" width="31.25" style="82" customWidth="1"/>
    <col min="10492" max="10492" width="33.5" style="82" customWidth="1"/>
    <col min="10493" max="10493" width="2.625" style="82" customWidth="1"/>
    <col min="10494" max="10497" width="10.375" style="82" customWidth="1"/>
    <col min="10498" max="10500" width="0" style="82" hidden="1" customWidth="1"/>
    <col min="10501" max="10503" width="12.25" style="82" bestFit="1" customWidth="1"/>
    <col min="10504" max="10504" width="9" style="82"/>
    <col min="10505" max="10505" width="11" style="82" bestFit="1" customWidth="1"/>
    <col min="10506" max="10738" width="9" style="82"/>
    <col min="10739" max="10745" width="1" style="82" customWidth="1"/>
    <col min="10746" max="10746" width="0.5" style="82" customWidth="1"/>
    <col min="10747" max="10747" width="31.25" style="82" customWidth="1"/>
    <col min="10748" max="10748" width="33.5" style="82" customWidth="1"/>
    <col min="10749" max="10749" width="2.625" style="82" customWidth="1"/>
    <col min="10750" max="10753" width="10.375" style="82" customWidth="1"/>
    <col min="10754" max="10756" width="0" style="82" hidden="1" customWidth="1"/>
    <col min="10757" max="10759" width="12.25" style="82" bestFit="1" customWidth="1"/>
    <col min="10760" max="10760" width="9" style="82"/>
    <col min="10761" max="10761" width="11" style="82" bestFit="1" customWidth="1"/>
    <col min="10762" max="10994" width="9" style="82"/>
    <col min="10995" max="11001" width="1" style="82" customWidth="1"/>
    <col min="11002" max="11002" width="0.5" style="82" customWidth="1"/>
    <col min="11003" max="11003" width="31.25" style="82" customWidth="1"/>
    <col min="11004" max="11004" width="33.5" style="82" customWidth="1"/>
    <col min="11005" max="11005" width="2.625" style="82" customWidth="1"/>
    <col min="11006" max="11009" width="10.375" style="82" customWidth="1"/>
    <col min="11010" max="11012" width="0" style="82" hidden="1" customWidth="1"/>
    <col min="11013" max="11015" width="12.25" style="82" bestFit="1" customWidth="1"/>
    <col min="11016" max="11016" width="9" style="82"/>
    <col min="11017" max="11017" width="11" style="82" bestFit="1" customWidth="1"/>
    <col min="11018" max="11250" width="9" style="82"/>
    <col min="11251" max="11257" width="1" style="82" customWidth="1"/>
    <col min="11258" max="11258" width="0.5" style="82" customWidth="1"/>
    <col min="11259" max="11259" width="31.25" style="82" customWidth="1"/>
    <col min="11260" max="11260" width="33.5" style="82" customWidth="1"/>
    <col min="11261" max="11261" width="2.625" style="82" customWidth="1"/>
    <col min="11262" max="11265" width="10.375" style="82" customWidth="1"/>
    <col min="11266" max="11268" width="0" style="82" hidden="1" customWidth="1"/>
    <col min="11269" max="11271" width="12.25" style="82" bestFit="1" customWidth="1"/>
    <col min="11272" max="11272" width="9" style="82"/>
    <col min="11273" max="11273" width="11" style="82" bestFit="1" customWidth="1"/>
    <col min="11274" max="11506" width="9" style="82"/>
    <col min="11507" max="11513" width="1" style="82" customWidth="1"/>
    <col min="11514" max="11514" width="0.5" style="82" customWidth="1"/>
    <col min="11515" max="11515" width="31.25" style="82" customWidth="1"/>
    <col min="11516" max="11516" width="33.5" style="82" customWidth="1"/>
    <col min="11517" max="11517" width="2.625" style="82" customWidth="1"/>
    <col min="11518" max="11521" width="10.375" style="82" customWidth="1"/>
    <col min="11522" max="11524" width="0" style="82" hidden="1" customWidth="1"/>
    <col min="11525" max="11527" width="12.25" style="82" bestFit="1" customWidth="1"/>
    <col min="11528" max="11528" width="9" style="82"/>
    <col min="11529" max="11529" width="11" style="82" bestFit="1" customWidth="1"/>
    <col min="11530" max="11762" width="9" style="82"/>
    <col min="11763" max="11769" width="1" style="82" customWidth="1"/>
    <col min="11770" max="11770" width="0.5" style="82" customWidth="1"/>
    <col min="11771" max="11771" width="31.25" style="82" customWidth="1"/>
    <col min="11772" max="11772" width="33.5" style="82" customWidth="1"/>
    <col min="11773" max="11773" width="2.625" style="82" customWidth="1"/>
    <col min="11774" max="11777" width="10.375" style="82" customWidth="1"/>
    <col min="11778" max="11780" width="0" style="82" hidden="1" customWidth="1"/>
    <col min="11781" max="11783" width="12.25" style="82" bestFit="1" customWidth="1"/>
    <col min="11784" max="11784" width="9" style="82"/>
    <col min="11785" max="11785" width="11" style="82" bestFit="1" customWidth="1"/>
    <col min="11786" max="12018" width="9" style="82"/>
    <col min="12019" max="12025" width="1" style="82" customWidth="1"/>
    <col min="12026" max="12026" width="0.5" style="82" customWidth="1"/>
    <col min="12027" max="12027" width="31.25" style="82" customWidth="1"/>
    <col min="12028" max="12028" width="33.5" style="82" customWidth="1"/>
    <col min="12029" max="12029" width="2.625" style="82" customWidth="1"/>
    <col min="12030" max="12033" width="10.375" style="82" customWidth="1"/>
    <col min="12034" max="12036" width="0" style="82" hidden="1" customWidth="1"/>
    <col min="12037" max="12039" width="12.25" style="82" bestFit="1" customWidth="1"/>
    <col min="12040" max="12040" width="9" style="82"/>
    <col min="12041" max="12041" width="11" style="82" bestFit="1" customWidth="1"/>
    <col min="12042" max="12274" width="9" style="82"/>
    <col min="12275" max="12281" width="1" style="82" customWidth="1"/>
    <col min="12282" max="12282" width="0.5" style="82" customWidth="1"/>
    <col min="12283" max="12283" width="31.25" style="82" customWidth="1"/>
    <col min="12284" max="12284" width="33.5" style="82" customWidth="1"/>
    <col min="12285" max="12285" width="2.625" style="82" customWidth="1"/>
    <col min="12286" max="12289" width="10.375" style="82" customWidth="1"/>
    <col min="12290" max="12292" width="0" style="82" hidden="1" customWidth="1"/>
    <col min="12293" max="12295" width="12.25" style="82" bestFit="1" customWidth="1"/>
    <col min="12296" max="12296" width="9" style="82"/>
    <col min="12297" max="12297" width="11" style="82" bestFit="1" customWidth="1"/>
    <col min="12298" max="12530" width="9" style="82"/>
    <col min="12531" max="12537" width="1" style="82" customWidth="1"/>
    <col min="12538" max="12538" width="0.5" style="82" customWidth="1"/>
    <col min="12539" max="12539" width="31.25" style="82" customWidth="1"/>
    <col min="12540" max="12540" width="33.5" style="82" customWidth="1"/>
    <col min="12541" max="12541" width="2.625" style="82" customWidth="1"/>
    <col min="12542" max="12545" width="10.375" style="82" customWidth="1"/>
    <col min="12546" max="12548" width="0" style="82" hidden="1" customWidth="1"/>
    <col min="12549" max="12551" width="12.25" style="82" bestFit="1" customWidth="1"/>
    <col min="12552" max="12552" width="9" style="82"/>
    <col min="12553" max="12553" width="11" style="82" bestFit="1" customWidth="1"/>
    <col min="12554" max="12786" width="9" style="82"/>
    <col min="12787" max="12793" width="1" style="82" customWidth="1"/>
    <col min="12794" max="12794" width="0.5" style="82" customWidth="1"/>
    <col min="12795" max="12795" width="31.25" style="82" customWidth="1"/>
    <col min="12796" max="12796" width="33.5" style="82" customWidth="1"/>
    <col min="12797" max="12797" width="2.625" style="82" customWidth="1"/>
    <col min="12798" max="12801" width="10.375" style="82" customWidth="1"/>
    <col min="12802" max="12804" width="0" style="82" hidden="1" customWidth="1"/>
    <col min="12805" max="12807" width="12.25" style="82" bestFit="1" customWidth="1"/>
    <col min="12808" max="12808" width="9" style="82"/>
    <col min="12809" max="12809" width="11" style="82" bestFit="1" customWidth="1"/>
    <col min="12810" max="13042" width="9" style="82"/>
    <col min="13043" max="13049" width="1" style="82" customWidth="1"/>
    <col min="13050" max="13050" width="0.5" style="82" customWidth="1"/>
    <col min="13051" max="13051" width="31.25" style="82" customWidth="1"/>
    <col min="13052" max="13052" width="33.5" style="82" customWidth="1"/>
    <col min="13053" max="13053" width="2.625" style="82" customWidth="1"/>
    <col min="13054" max="13057" width="10.375" style="82" customWidth="1"/>
    <col min="13058" max="13060" width="0" style="82" hidden="1" customWidth="1"/>
    <col min="13061" max="13063" width="12.25" style="82" bestFit="1" customWidth="1"/>
    <col min="13064" max="13064" width="9" style="82"/>
    <col min="13065" max="13065" width="11" style="82" bestFit="1" customWidth="1"/>
    <col min="13066" max="13298" width="9" style="82"/>
    <col min="13299" max="13305" width="1" style="82" customWidth="1"/>
    <col min="13306" max="13306" width="0.5" style="82" customWidth="1"/>
    <col min="13307" max="13307" width="31.25" style="82" customWidth="1"/>
    <col min="13308" max="13308" width="33.5" style="82" customWidth="1"/>
    <col min="13309" max="13309" width="2.625" style="82" customWidth="1"/>
    <col min="13310" max="13313" width="10.375" style="82" customWidth="1"/>
    <col min="13314" max="13316" width="0" style="82" hidden="1" customWidth="1"/>
    <col min="13317" max="13319" width="12.25" style="82" bestFit="1" customWidth="1"/>
    <col min="13320" max="13320" width="9" style="82"/>
    <col min="13321" max="13321" width="11" style="82" bestFit="1" customWidth="1"/>
    <col min="13322" max="13554" width="9" style="82"/>
    <col min="13555" max="13561" width="1" style="82" customWidth="1"/>
    <col min="13562" max="13562" width="0.5" style="82" customWidth="1"/>
    <col min="13563" max="13563" width="31.25" style="82" customWidth="1"/>
    <col min="13564" max="13564" width="33.5" style="82" customWidth="1"/>
    <col min="13565" max="13565" width="2.625" style="82" customWidth="1"/>
    <col min="13566" max="13569" width="10.375" style="82" customWidth="1"/>
    <col min="13570" max="13572" width="0" style="82" hidden="1" customWidth="1"/>
    <col min="13573" max="13575" width="12.25" style="82" bestFit="1" customWidth="1"/>
    <col min="13576" max="13576" width="9" style="82"/>
    <col min="13577" max="13577" width="11" style="82" bestFit="1" customWidth="1"/>
    <col min="13578" max="13810" width="9" style="82"/>
    <col min="13811" max="13817" width="1" style="82" customWidth="1"/>
    <col min="13818" max="13818" width="0.5" style="82" customWidth="1"/>
    <col min="13819" max="13819" width="31.25" style="82" customWidth="1"/>
    <col min="13820" max="13820" width="33.5" style="82" customWidth="1"/>
    <col min="13821" max="13821" width="2.625" style="82" customWidth="1"/>
    <col min="13822" max="13825" width="10.375" style="82" customWidth="1"/>
    <col min="13826" max="13828" width="0" style="82" hidden="1" customWidth="1"/>
    <col min="13829" max="13831" width="12.25" style="82" bestFit="1" customWidth="1"/>
    <col min="13832" max="13832" width="9" style="82"/>
    <col min="13833" max="13833" width="11" style="82" bestFit="1" customWidth="1"/>
    <col min="13834" max="14066" width="9" style="82"/>
    <col min="14067" max="14073" width="1" style="82" customWidth="1"/>
    <col min="14074" max="14074" width="0.5" style="82" customWidth="1"/>
    <col min="14075" max="14075" width="31.25" style="82" customWidth="1"/>
    <col min="14076" max="14076" width="33.5" style="82" customWidth="1"/>
    <col min="14077" max="14077" width="2.625" style="82" customWidth="1"/>
    <col min="14078" max="14081" width="10.375" style="82" customWidth="1"/>
    <col min="14082" max="14084" width="0" style="82" hidden="1" customWidth="1"/>
    <col min="14085" max="14087" width="12.25" style="82" bestFit="1" customWidth="1"/>
    <col min="14088" max="14088" width="9" style="82"/>
    <col min="14089" max="14089" width="11" style="82" bestFit="1" customWidth="1"/>
    <col min="14090" max="14322" width="9" style="82"/>
    <col min="14323" max="14329" width="1" style="82" customWidth="1"/>
    <col min="14330" max="14330" width="0.5" style="82" customWidth="1"/>
    <col min="14331" max="14331" width="31.25" style="82" customWidth="1"/>
    <col min="14332" max="14332" width="33.5" style="82" customWidth="1"/>
    <col min="14333" max="14333" width="2.625" style="82" customWidth="1"/>
    <col min="14334" max="14337" width="10.375" style="82" customWidth="1"/>
    <col min="14338" max="14340" width="0" style="82" hidden="1" customWidth="1"/>
    <col min="14341" max="14343" width="12.25" style="82" bestFit="1" customWidth="1"/>
    <col min="14344" max="14344" width="9" style="82"/>
    <col min="14345" max="14345" width="11" style="82" bestFit="1" customWidth="1"/>
    <col min="14346" max="14578" width="9" style="82"/>
    <col min="14579" max="14585" width="1" style="82" customWidth="1"/>
    <col min="14586" max="14586" width="0.5" style="82" customWidth="1"/>
    <col min="14587" max="14587" width="31.25" style="82" customWidth="1"/>
    <col min="14588" max="14588" width="33.5" style="82" customWidth="1"/>
    <col min="14589" max="14589" width="2.625" style="82" customWidth="1"/>
    <col min="14590" max="14593" width="10.375" style="82" customWidth="1"/>
    <col min="14594" max="14596" width="0" style="82" hidden="1" customWidth="1"/>
    <col min="14597" max="14599" width="12.25" style="82" bestFit="1" customWidth="1"/>
    <col min="14600" max="14600" width="9" style="82"/>
    <col min="14601" max="14601" width="11" style="82" bestFit="1" customWidth="1"/>
    <col min="14602" max="14834" width="9" style="82"/>
    <col min="14835" max="14841" width="1" style="82" customWidth="1"/>
    <col min="14842" max="14842" width="0.5" style="82" customWidth="1"/>
    <col min="14843" max="14843" width="31.25" style="82" customWidth="1"/>
    <col min="14844" max="14844" width="33.5" style="82" customWidth="1"/>
    <col min="14845" max="14845" width="2.625" style="82" customWidth="1"/>
    <col min="14846" max="14849" width="10.375" style="82" customWidth="1"/>
    <col min="14850" max="14852" width="0" style="82" hidden="1" customWidth="1"/>
    <col min="14853" max="14855" width="12.25" style="82" bestFit="1" customWidth="1"/>
    <col min="14856" max="14856" width="9" style="82"/>
    <col min="14857" max="14857" width="11" style="82" bestFit="1" customWidth="1"/>
    <col min="14858" max="15090" width="9" style="82"/>
    <col min="15091" max="15097" width="1" style="82" customWidth="1"/>
    <col min="15098" max="15098" width="0.5" style="82" customWidth="1"/>
    <col min="15099" max="15099" width="31.25" style="82" customWidth="1"/>
    <col min="15100" max="15100" width="33.5" style="82" customWidth="1"/>
    <col min="15101" max="15101" width="2.625" style="82" customWidth="1"/>
    <col min="15102" max="15105" width="10.375" style="82" customWidth="1"/>
    <col min="15106" max="15108" width="0" style="82" hidden="1" customWidth="1"/>
    <col min="15109" max="15111" width="12.25" style="82" bestFit="1" customWidth="1"/>
    <col min="15112" max="15112" width="9" style="82"/>
    <col min="15113" max="15113" width="11" style="82" bestFit="1" customWidth="1"/>
    <col min="15114" max="15346" width="9" style="82"/>
    <col min="15347" max="15353" width="1" style="82" customWidth="1"/>
    <col min="15354" max="15354" width="0.5" style="82" customWidth="1"/>
    <col min="15355" max="15355" width="31.25" style="82" customWidth="1"/>
    <col min="15356" max="15356" width="33.5" style="82" customWidth="1"/>
    <col min="15357" max="15357" width="2.625" style="82" customWidth="1"/>
    <col min="15358" max="15361" width="10.375" style="82" customWidth="1"/>
    <col min="15362" max="15364" width="0" style="82" hidden="1" customWidth="1"/>
    <col min="15365" max="15367" width="12.25" style="82" bestFit="1" customWidth="1"/>
    <col min="15368" max="15368" width="9" style="82"/>
    <col min="15369" max="15369" width="11" style="82" bestFit="1" customWidth="1"/>
    <col min="15370" max="15602" width="9" style="82"/>
    <col min="15603" max="15609" width="1" style="82" customWidth="1"/>
    <col min="15610" max="15610" width="0.5" style="82" customWidth="1"/>
    <col min="15611" max="15611" width="31.25" style="82" customWidth="1"/>
    <col min="15612" max="15612" width="33.5" style="82" customWidth="1"/>
    <col min="15613" max="15613" width="2.625" style="82" customWidth="1"/>
    <col min="15614" max="15617" width="10.375" style="82" customWidth="1"/>
    <col min="15618" max="15620" width="0" style="82" hidden="1" customWidth="1"/>
    <col min="15621" max="15623" width="12.25" style="82" bestFit="1" customWidth="1"/>
    <col min="15624" max="15624" width="9" style="82"/>
    <col min="15625" max="15625" width="11" style="82" bestFit="1" customWidth="1"/>
    <col min="15626" max="15858" width="9" style="82"/>
    <col min="15859" max="15865" width="1" style="82" customWidth="1"/>
    <col min="15866" max="15866" width="0.5" style="82" customWidth="1"/>
    <col min="15867" max="15867" width="31.25" style="82" customWidth="1"/>
    <col min="15868" max="15868" width="33.5" style="82" customWidth="1"/>
    <col min="15869" max="15869" width="2.625" style="82" customWidth="1"/>
    <col min="15870" max="15873" width="10.375" style="82" customWidth="1"/>
    <col min="15874" max="15876" width="0" style="82" hidden="1" customWidth="1"/>
    <col min="15877" max="15879" width="12.25" style="82" bestFit="1" customWidth="1"/>
    <col min="15880" max="15880" width="9" style="82"/>
    <col min="15881" max="15881" width="11" style="82" bestFit="1" customWidth="1"/>
    <col min="15882" max="16114" width="9" style="82"/>
    <col min="16115" max="16121" width="1" style="82" customWidth="1"/>
    <col min="16122" max="16122" width="0.5" style="82" customWidth="1"/>
    <col min="16123" max="16123" width="31.25" style="82" customWidth="1"/>
    <col min="16124" max="16124" width="33.5" style="82" customWidth="1"/>
    <col min="16125" max="16125" width="2.625" style="82" customWidth="1"/>
    <col min="16126" max="16129" width="10.375" style="82" customWidth="1"/>
    <col min="16130" max="16132" width="0" style="82" hidden="1" customWidth="1"/>
    <col min="16133" max="16135" width="12.25" style="82" bestFit="1" customWidth="1"/>
    <col min="16136" max="16136" width="9" style="82"/>
    <col min="16137" max="16137" width="11" style="82" bestFit="1" customWidth="1"/>
    <col min="16138" max="16384" width="9" style="82"/>
  </cols>
  <sheetData>
    <row r="1" spans="1:19" ht="20.100000000000001" customHeight="1">
      <c r="A1" s="498" t="s">
        <v>1153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159"/>
      <c r="O1" s="159"/>
      <c r="P1" s="152"/>
      <c r="Q1" s="159"/>
    </row>
    <row r="2" spans="1:19" ht="5.0999999999999996" customHeight="1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97"/>
      <c r="O2" s="139"/>
      <c r="P2" s="152"/>
      <c r="Q2" s="97"/>
    </row>
    <row r="3" spans="1:19" s="274" customFormat="1" ht="20.100000000000001" customHeight="1">
      <c r="A3" s="404" t="s">
        <v>1154</v>
      </c>
      <c r="B3" s="404"/>
      <c r="C3" s="404"/>
      <c r="D3" s="404"/>
      <c r="E3" s="404"/>
      <c r="F3" s="404"/>
      <c r="G3" s="404"/>
      <c r="H3" s="404"/>
      <c r="I3" s="404"/>
      <c r="J3" s="404"/>
      <c r="K3" s="404"/>
      <c r="L3" s="404"/>
      <c r="M3" s="404"/>
      <c r="N3" s="556" t="s">
        <v>1991</v>
      </c>
      <c r="O3" s="556"/>
      <c r="P3" s="263"/>
      <c r="Q3" s="273"/>
    </row>
    <row r="4" spans="1:19" ht="20.100000000000001" customHeight="1">
      <c r="A4" s="399" t="s">
        <v>843</v>
      </c>
      <c r="B4" s="400"/>
      <c r="C4" s="400"/>
      <c r="D4" s="400"/>
      <c r="E4" s="400"/>
      <c r="F4" s="400"/>
      <c r="G4" s="400"/>
      <c r="H4" s="400"/>
      <c r="I4" s="400"/>
      <c r="J4" s="400"/>
      <c r="K4" s="400"/>
      <c r="L4" s="401"/>
      <c r="M4" s="398" t="s">
        <v>2</v>
      </c>
      <c r="N4" s="398" t="s">
        <v>3</v>
      </c>
      <c r="O4" s="398" t="s">
        <v>4</v>
      </c>
      <c r="P4" s="182"/>
      <c r="Q4" s="392" t="s">
        <v>1198</v>
      </c>
    </row>
    <row r="5" spans="1:19" ht="20.100000000000001" customHeight="1">
      <c r="A5" s="394" t="s">
        <v>844</v>
      </c>
      <c r="B5" s="395"/>
      <c r="C5" s="395"/>
      <c r="D5" s="395"/>
      <c r="E5" s="395"/>
      <c r="F5" s="395"/>
      <c r="G5" s="395"/>
      <c r="H5" s="395"/>
      <c r="I5" s="395"/>
      <c r="J5" s="395"/>
      <c r="K5" s="395"/>
      <c r="L5" s="396"/>
      <c r="M5" s="396"/>
      <c r="N5" s="396"/>
      <c r="O5" s="396"/>
      <c r="P5" s="182"/>
      <c r="Q5" s="393"/>
    </row>
    <row r="6" spans="1:19" ht="20.100000000000001" customHeight="1">
      <c r="A6" s="399" t="s">
        <v>823</v>
      </c>
      <c r="B6" s="400"/>
      <c r="C6" s="400"/>
      <c r="D6" s="400"/>
      <c r="E6" s="400"/>
      <c r="F6" s="400"/>
      <c r="G6" s="400"/>
      <c r="H6" s="400"/>
      <c r="I6" s="400"/>
      <c r="J6" s="400"/>
      <c r="K6" s="400"/>
      <c r="L6" s="401"/>
      <c r="M6" s="83">
        <f>+M7</f>
        <v>18594</v>
      </c>
      <c r="N6" s="83">
        <f>+N7</f>
        <v>8656</v>
      </c>
      <c r="O6" s="83">
        <f>+O7</f>
        <v>9938</v>
      </c>
      <c r="P6" s="183"/>
      <c r="Q6" s="83"/>
      <c r="R6" s="84"/>
    </row>
    <row r="7" spans="1:19" ht="24.95" customHeight="1">
      <c r="A7" s="402" t="s">
        <v>845</v>
      </c>
      <c r="B7" s="378"/>
      <c r="C7" s="378"/>
      <c r="D7" s="378"/>
      <c r="E7" s="378" t="s">
        <v>847</v>
      </c>
      <c r="F7" s="378"/>
      <c r="G7" s="378"/>
      <c r="H7" s="378"/>
      <c r="I7" s="378"/>
      <c r="J7" s="378"/>
      <c r="K7" s="378"/>
      <c r="L7" s="379"/>
      <c r="M7" s="85">
        <f>M8</f>
        <v>18594</v>
      </c>
      <c r="N7" s="85">
        <f>N8</f>
        <v>8656</v>
      </c>
      <c r="O7" s="85">
        <f>O8</f>
        <v>9938</v>
      </c>
      <c r="P7" s="176"/>
      <c r="Q7" s="85"/>
      <c r="R7" s="84"/>
    </row>
    <row r="8" spans="1:19" ht="24.95" customHeight="1">
      <c r="A8" s="86"/>
      <c r="B8" s="378" t="s">
        <v>848</v>
      </c>
      <c r="C8" s="378"/>
      <c r="D8" s="378"/>
      <c r="E8" s="378"/>
      <c r="F8" s="378" t="s">
        <v>849</v>
      </c>
      <c r="G8" s="378"/>
      <c r="H8" s="378"/>
      <c r="I8" s="378"/>
      <c r="J8" s="378"/>
      <c r="K8" s="378"/>
      <c r="L8" s="379"/>
      <c r="M8" s="85">
        <f t="shared" ref="M8:O8" si="0">+M9</f>
        <v>18594</v>
      </c>
      <c r="N8" s="85">
        <f t="shared" si="0"/>
        <v>8656</v>
      </c>
      <c r="O8" s="85">
        <f t="shared" si="0"/>
        <v>9938</v>
      </c>
      <c r="P8" s="177"/>
      <c r="Q8" s="85"/>
      <c r="R8" s="84"/>
    </row>
    <row r="9" spans="1:19" ht="24.95" customHeight="1">
      <c r="A9" s="86"/>
      <c r="B9" s="87"/>
      <c r="C9" s="378" t="s">
        <v>1117</v>
      </c>
      <c r="D9" s="378"/>
      <c r="E9" s="378"/>
      <c r="F9" s="378"/>
      <c r="G9" s="378" t="s">
        <v>1118</v>
      </c>
      <c r="H9" s="378"/>
      <c r="I9" s="378"/>
      <c r="J9" s="378"/>
      <c r="K9" s="378"/>
      <c r="L9" s="379"/>
      <c r="M9" s="85">
        <f>+SUM(M10:M13)</f>
        <v>18594</v>
      </c>
      <c r="N9" s="85">
        <f t="shared" ref="N9:O9" si="1">+SUM(N10:N13)</f>
        <v>8656</v>
      </c>
      <c r="O9" s="85">
        <f t="shared" si="1"/>
        <v>9938</v>
      </c>
      <c r="P9" s="177"/>
      <c r="Q9" s="85"/>
      <c r="R9" s="84"/>
    </row>
    <row r="10" spans="1:19" s="93" customFormat="1" ht="24.95" customHeight="1">
      <c r="A10" s="88"/>
      <c r="B10" s="89"/>
      <c r="C10" s="89"/>
      <c r="D10" s="90"/>
      <c r="E10" s="383" t="s">
        <v>1307</v>
      </c>
      <c r="F10" s="383"/>
      <c r="G10" s="383"/>
      <c r="H10" s="383"/>
      <c r="I10" s="383" t="s">
        <v>899</v>
      </c>
      <c r="J10" s="383"/>
      <c r="K10" s="383"/>
      <c r="L10" s="384"/>
      <c r="M10" s="91"/>
      <c r="N10" s="91"/>
      <c r="O10" s="91"/>
      <c r="P10" s="178"/>
      <c r="Q10" s="91"/>
      <c r="R10" s="84"/>
      <c r="S10" s="92"/>
    </row>
    <row r="11" spans="1:19" s="93" customFormat="1" ht="24.95" customHeight="1">
      <c r="A11" s="88"/>
      <c r="B11" s="89"/>
      <c r="C11" s="89"/>
      <c r="D11" s="94"/>
      <c r="E11" s="385" t="s">
        <v>1119</v>
      </c>
      <c r="F11" s="386"/>
      <c r="G11" s="386"/>
      <c r="H11" s="386"/>
      <c r="I11" s="386"/>
      <c r="J11" s="386"/>
      <c r="K11" s="95"/>
      <c r="L11" s="253">
        <f>L12</f>
        <v>18594</v>
      </c>
      <c r="M11" s="96"/>
      <c r="N11" s="96"/>
      <c r="O11" s="96"/>
      <c r="P11" s="176"/>
      <c r="Q11" s="188"/>
      <c r="R11" s="84"/>
    </row>
    <row r="12" spans="1:19" s="93" customFormat="1" ht="24.95" customHeight="1">
      <c r="A12" s="88"/>
      <c r="B12" s="89"/>
      <c r="C12" s="89"/>
      <c r="D12" s="94"/>
      <c r="E12" s="555" t="s">
        <v>1303</v>
      </c>
      <c r="F12" s="519"/>
      <c r="G12" s="519"/>
      <c r="H12" s="519"/>
      <c r="I12" s="519"/>
      <c r="J12" s="519"/>
      <c r="K12" s="519"/>
      <c r="L12" s="96">
        <v>18594</v>
      </c>
      <c r="M12" s="262">
        <f>+L12</f>
        <v>18594</v>
      </c>
      <c r="N12" s="262">
        <v>8656</v>
      </c>
      <c r="O12" s="262">
        <f>+M12-N12</f>
        <v>9938</v>
      </c>
      <c r="P12" s="332"/>
      <c r="Q12" s="355" t="s">
        <v>1304</v>
      </c>
      <c r="R12" s="84"/>
    </row>
    <row r="13" spans="1:19" s="93" customFormat="1" ht="24.95" customHeight="1">
      <c r="A13" s="120"/>
      <c r="B13" s="121"/>
      <c r="C13" s="120"/>
      <c r="D13" s="122"/>
      <c r="E13" s="552"/>
      <c r="F13" s="553"/>
      <c r="G13" s="553"/>
      <c r="H13" s="553"/>
      <c r="I13" s="553"/>
      <c r="J13" s="554"/>
      <c r="K13" s="554"/>
      <c r="L13" s="123"/>
      <c r="M13" s="123"/>
      <c r="N13" s="123"/>
      <c r="O13" s="123"/>
      <c r="P13" s="176"/>
      <c r="Q13" s="189"/>
      <c r="R13" s="84"/>
    </row>
    <row r="14" spans="1:19" ht="5.0999999999999996" customHeight="1">
      <c r="P14" s="176"/>
    </row>
    <row r="15" spans="1:19" ht="20.100000000000001" customHeight="1">
      <c r="P15" s="82"/>
    </row>
    <row r="16" spans="1:19" ht="20.100000000000001" customHeight="1">
      <c r="P16" s="82"/>
    </row>
    <row r="17" spans="5:16" ht="20.100000000000001" customHeight="1">
      <c r="P17" s="179"/>
    </row>
    <row r="18" spans="5:16" ht="20.100000000000001" customHeight="1">
      <c r="P18" s="179"/>
    </row>
    <row r="19" spans="5:16" ht="20.100000000000001" customHeight="1">
      <c r="P19" s="179"/>
    </row>
    <row r="20" spans="5:16" ht="20.100000000000001" customHeight="1">
      <c r="P20" s="179"/>
    </row>
    <row r="21" spans="5:16" ht="20.100000000000001" customHeight="1">
      <c r="P21" s="179"/>
    </row>
    <row r="22" spans="5:16" ht="20.100000000000001" customHeight="1">
      <c r="P22" s="179"/>
    </row>
    <row r="23" spans="5:16" ht="20.100000000000001" customHeight="1">
      <c r="P23" s="179"/>
    </row>
    <row r="24" spans="5:16" ht="20.100000000000001" customHeight="1">
      <c r="P24" s="179"/>
    </row>
    <row r="25" spans="5:16" ht="20.100000000000001" customHeight="1">
      <c r="P25" s="179"/>
    </row>
    <row r="26" spans="5:16" ht="20.100000000000001" customHeight="1">
      <c r="P26" s="179"/>
    </row>
    <row r="27" spans="5:16" ht="20.100000000000001" customHeight="1">
      <c r="P27" s="179"/>
    </row>
    <row r="28" spans="5:16" ht="20.100000000000001" customHeight="1">
      <c r="P28" s="179"/>
    </row>
    <row r="29" spans="5:16" ht="20.100000000000001" customHeight="1">
      <c r="P29" s="179"/>
    </row>
    <row r="30" spans="5:16" ht="20.100000000000001" customHeight="1">
      <c r="E30" s="124"/>
      <c r="F30" s="124"/>
      <c r="G30" s="124"/>
      <c r="H30" s="124"/>
      <c r="I30" s="124"/>
      <c r="P30" s="179"/>
    </row>
    <row r="31" spans="5:16" ht="20.100000000000001" customHeight="1">
      <c r="P31" s="179"/>
    </row>
    <row r="32" spans="5:16" ht="20.100000000000001" customHeight="1">
      <c r="P32" s="179"/>
    </row>
    <row r="33" spans="16:16" ht="20.100000000000001" customHeight="1">
      <c r="P33" s="179"/>
    </row>
    <row r="34" spans="16:16" ht="20.100000000000001" customHeight="1">
      <c r="P34" s="179"/>
    </row>
    <row r="35" spans="16:16" ht="20.100000000000001" customHeight="1">
      <c r="P35" s="179"/>
    </row>
    <row r="36" spans="16:16" ht="20.100000000000001" customHeight="1">
      <c r="P36" s="179"/>
    </row>
    <row r="37" spans="16:16" ht="20.100000000000001" customHeight="1">
      <c r="P37" s="179"/>
    </row>
    <row r="38" spans="16:16" ht="20.100000000000001" customHeight="1">
      <c r="P38" s="179"/>
    </row>
    <row r="39" spans="16:16" ht="20.100000000000001" customHeight="1">
      <c r="P39" s="179"/>
    </row>
    <row r="40" spans="16:16" ht="20.100000000000001" customHeight="1">
      <c r="P40" s="179"/>
    </row>
    <row r="41" spans="16:16" ht="20.100000000000001" customHeight="1">
      <c r="P41" s="179"/>
    </row>
    <row r="42" spans="16:16" ht="20.100000000000001" customHeight="1">
      <c r="P42" s="179"/>
    </row>
    <row r="43" spans="16:16" ht="20.100000000000001" customHeight="1">
      <c r="P43" s="179"/>
    </row>
    <row r="44" spans="16:16" ht="20.100000000000001" customHeight="1">
      <c r="P44" s="179"/>
    </row>
    <row r="45" spans="16:16" ht="20.100000000000001" customHeight="1">
      <c r="P45" s="179"/>
    </row>
    <row r="46" spans="16:16" ht="20.100000000000001" customHeight="1">
      <c r="P46" s="179"/>
    </row>
    <row r="47" spans="16:16" ht="20.100000000000001" customHeight="1">
      <c r="P47" s="179"/>
    </row>
    <row r="48" spans="16:16" ht="20.100000000000001" customHeight="1">
      <c r="P48" s="179"/>
    </row>
    <row r="49" spans="16:16" ht="20.100000000000001" customHeight="1">
      <c r="P49" s="179"/>
    </row>
    <row r="50" spans="16:16" ht="20.100000000000001" customHeight="1">
      <c r="P50" s="179"/>
    </row>
    <row r="51" spans="16:16" ht="20.100000000000001" customHeight="1">
      <c r="P51" s="179"/>
    </row>
    <row r="52" spans="16:16" ht="20.100000000000001" customHeight="1">
      <c r="P52" s="179"/>
    </row>
    <row r="53" spans="16:16" ht="20.100000000000001" customHeight="1">
      <c r="P53" s="179"/>
    </row>
    <row r="54" spans="16:16" ht="20.100000000000001" customHeight="1">
      <c r="P54" s="179"/>
    </row>
    <row r="55" spans="16:16" ht="20.100000000000001" customHeight="1">
      <c r="P55" s="179"/>
    </row>
    <row r="56" spans="16:16" ht="20.100000000000001" customHeight="1">
      <c r="P56" s="179"/>
    </row>
    <row r="57" spans="16:16" ht="20.100000000000001" customHeight="1">
      <c r="P57" s="179"/>
    </row>
    <row r="58" spans="16:16" ht="20.100000000000001" customHeight="1">
      <c r="P58" s="179"/>
    </row>
    <row r="59" spans="16:16" ht="20.100000000000001" customHeight="1">
      <c r="P59" s="179"/>
    </row>
    <row r="60" spans="16:16" ht="20.100000000000001" customHeight="1">
      <c r="P60" s="179"/>
    </row>
    <row r="61" spans="16:16" ht="20.100000000000001" customHeight="1">
      <c r="P61" s="179"/>
    </row>
    <row r="62" spans="16:16" ht="20.100000000000001" customHeight="1">
      <c r="P62" s="179"/>
    </row>
    <row r="63" spans="16:16" ht="20.100000000000001" customHeight="1">
      <c r="P63" s="179"/>
    </row>
    <row r="64" spans="16:16" ht="20.100000000000001" customHeight="1">
      <c r="P64" s="179"/>
    </row>
    <row r="65" spans="16:16" ht="20.100000000000001" customHeight="1">
      <c r="P65" s="179"/>
    </row>
    <row r="66" spans="16:16" ht="20.100000000000001" customHeight="1">
      <c r="P66" s="179"/>
    </row>
    <row r="67" spans="16:16" ht="20.100000000000001" customHeight="1">
      <c r="P67" s="179"/>
    </row>
    <row r="68" spans="16:16" ht="20.100000000000001" customHeight="1">
      <c r="P68" s="179"/>
    </row>
    <row r="69" spans="16:16" ht="20.100000000000001" customHeight="1">
      <c r="P69" s="179"/>
    </row>
    <row r="70" spans="16:16" ht="20.100000000000001" customHeight="1">
      <c r="P70" s="179"/>
    </row>
    <row r="71" spans="16:16" ht="20.100000000000001" customHeight="1">
      <c r="P71" s="179"/>
    </row>
    <row r="72" spans="16:16" ht="20.100000000000001" customHeight="1">
      <c r="P72" s="179"/>
    </row>
    <row r="73" spans="16:16" ht="20.100000000000001" customHeight="1">
      <c r="P73" s="179"/>
    </row>
    <row r="74" spans="16:16" ht="20.100000000000001" customHeight="1">
      <c r="P74" s="179"/>
    </row>
    <row r="75" spans="16:16" ht="20.100000000000001" customHeight="1">
      <c r="P75" s="179"/>
    </row>
    <row r="76" spans="16:16" ht="20.100000000000001" customHeight="1">
      <c r="P76" s="179"/>
    </row>
    <row r="77" spans="16:16" ht="20.100000000000001" customHeight="1">
      <c r="P77" s="179"/>
    </row>
    <row r="78" spans="16:16" ht="20.100000000000001" customHeight="1">
      <c r="P78" s="179"/>
    </row>
    <row r="79" spans="16:16" ht="20.100000000000001" customHeight="1">
      <c r="P79" s="179"/>
    </row>
    <row r="80" spans="16:16" ht="20.100000000000001" customHeight="1">
      <c r="P80" s="179"/>
    </row>
    <row r="81" spans="16:16" ht="20.100000000000001" customHeight="1">
      <c r="P81" s="179"/>
    </row>
    <row r="82" spans="16:16" ht="20.100000000000001" customHeight="1">
      <c r="P82" s="179"/>
    </row>
    <row r="83" spans="16:16" ht="20.100000000000001" customHeight="1">
      <c r="P83" s="179"/>
    </row>
    <row r="84" spans="16:16" ht="20.100000000000001" customHeight="1">
      <c r="P84" s="179"/>
    </row>
    <row r="85" spans="16:16" ht="20.100000000000001" customHeight="1">
      <c r="P85" s="179"/>
    </row>
    <row r="86" spans="16:16" ht="20.100000000000001" customHeight="1">
      <c r="P86" s="179"/>
    </row>
    <row r="87" spans="16:16" ht="20.100000000000001" customHeight="1">
      <c r="P87" s="179"/>
    </row>
    <row r="88" spans="16:16" ht="20.100000000000001" customHeight="1">
      <c r="P88" s="179"/>
    </row>
    <row r="89" spans="16:16" ht="20.100000000000001" customHeight="1">
      <c r="P89" s="179"/>
    </row>
    <row r="90" spans="16:16" ht="20.100000000000001" customHeight="1">
      <c r="P90" s="179"/>
    </row>
    <row r="91" spans="16:16" ht="20.100000000000001" customHeight="1">
      <c r="P91" s="179"/>
    </row>
    <row r="92" spans="16:16" ht="20.100000000000001" customHeight="1">
      <c r="P92" s="179"/>
    </row>
    <row r="93" spans="16:16" ht="20.100000000000001" customHeight="1">
      <c r="P93" s="179"/>
    </row>
    <row r="94" spans="16:16" ht="20.100000000000001" customHeight="1">
      <c r="P94" s="179"/>
    </row>
    <row r="95" spans="16:16" ht="20.100000000000001" customHeight="1">
      <c r="P95" s="179"/>
    </row>
    <row r="96" spans="16:16" ht="20.100000000000001" customHeight="1">
      <c r="P96" s="179"/>
    </row>
    <row r="97" spans="16:16" ht="20.100000000000001" customHeight="1">
      <c r="P97" s="179"/>
    </row>
    <row r="98" spans="16:16" ht="20.100000000000001" customHeight="1">
      <c r="P98" s="179"/>
    </row>
    <row r="99" spans="16:16" ht="20.100000000000001" customHeight="1">
      <c r="P99" s="179"/>
    </row>
    <row r="100" spans="16:16" ht="20.100000000000001" customHeight="1">
      <c r="P100" s="179"/>
    </row>
    <row r="101" spans="16:16" ht="20.100000000000001" customHeight="1">
      <c r="P101" s="179"/>
    </row>
    <row r="102" spans="16:16" ht="20.100000000000001" customHeight="1">
      <c r="P102" s="179"/>
    </row>
    <row r="103" spans="16:16" ht="20.100000000000001" customHeight="1">
      <c r="P103" s="179"/>
    </row>
    <row r="104" spans="16:16" ht="20.100000000000001" customHeight="1">
      <c r="P104" s="179"/>
    </row>
    <row r="105" spans="16:16" ht="20.100000000000001" customHeight="1">
      <c r="P105" s="179"/>
    </row>
    <row r="106" spans="16:16" ht="20.100000000000001" customHeight="1">
      <c r="P106" s="179"/>
    </row>
    <row r="107" spans="16:16" ht="20.100000000000001" customHeight="1">
      <c r="P107" s="179"/>
    </row>
    <row r="108" spans="16:16" ht="20.100000000000001" customHeight="1">
      <c r="P108" s="179"/>
    </row>
    <row r="109" spans="16:16" ht="20.100000000000001" customHeight="1">
      <c r="P109" s="179"/>
    </row>
    <row r="110" spans="16:16" ht="20.100000000000001" customHeight="1">
      <c r="P110" s="179"/>
    </row>
    <row r="111" spans="16:16" ht="20.100000000000001" customHeight="1">
      <c r="P111" s="179"/>
    </row>
    <row r="112" spans="16:16" ht="20.100000000000001" customHeight="1">
      <c r="P112" s="179"/>
    </row>
    <row r="113" spans="16:16" ht="20.100000000000001" customHeight="1">
      <c r="P113" s="179"/>
    </row>
    <row r="114" spans="16:16" ht="20.100000000000001" customHeight="1">
      <c r="P114" s="179"/>
    </row>
    <row r="115" spans="16:16" ht="20.100000000000001" customHeight="1">
      <c r="P115" s="179"/>
    </row>
    <row r="116" spans="16:16" ht="20.100000000000001" customHeight="1">
      <c r="P116" s="179"/>
    </row>
    <row r="117" spans="16:16" ht="20.100000000000001" customHeight="1">
      <c r="P117" s="179"/>
    </row>
    <row r="118" spans="16:16" ht="20.100000000000001" customHeight="1">
      <c r="P118" s="179"/>
    </row>
    <row r="119" spans="16:16" ht="20.100000000000001" customHeight="1">
      <c r="P119" s="179"/>
    </row>
    <row r="120" spans="16:16" ht="20.100000000000001" customHeight="1">
      <c r="P120" s="179"/>
    </row>
    <row r="121" spans="16:16" ht="20.100000000000001" customHeight="1">
      <c r="P121" s="179"/>
    </row>
    <row r="122" spans="16:16" ht="20.100000000000001" customHeight="1">
      <c r="P122" s="179"/>
    </row>
    <row r="123" spans="16:16" ht="20.100000000000001" customHeight="1">
      <c r="P123" s="179"/>
    </row>
    <row r="124" spans="16:16" ht="20.100000000000001" customHeight="1">
      <c r="P124" s="179"/>
    </row>
    <row r="125" spans="16:16" ht="20.100000000000001" customHeight="1">
      <c r="P125" s="179"/>
    </row>
    <row r="126" spans="16:16" ht="20.100000000000001" customHeight="1">
      <c r="P126" s="179"/>
    </row>
    <row r="127" spans="16:16" ht="20.100000000000001" customHeight="1">
      <c r="P127" s="179"/>
    </row>
    <row r="128" spans="16:16" ht="20.100000000000001" customHeight="1">
      <c r="P128" s="179"/>
    </row>
    <row r="129" spans="16:16" ht="20.100000000000001" customHeight="1">
      <c r="P129" s="179"/>
    </row>
    <row r="130" spans="16:16" ht="20.100000000000001" customHeight="1">
      <c r="P130" s="179"/>
    </row>
    <row r="131" spans="16:16" ht="20.100000000000001" customHeight="1">
      <c r="P131" s="179"/>
    </row>
    <row r="132" spans="16:16" ht="20.100000000000001" customHeight="1">
      <c r="P132" s="179"/>
    </row>
    <row r="133" spans="16:16" ht="20.100000000000001" customHeight="1">
      <c r="P133" s="179"/>
    </row>
    <row r="134" spans="16:16" ht="20.100000000000001" customHeight="1">
      <c r="P134" s="179"/>
    </row>
    <row r="135" spans="16:16" ht="20.100000000000001" customHeight="1">
      <c r="P135" s="179"/>
    </row>
    <row r="136" spans="16:16" ht="20.100000000000001" customHeight="1">
      <c r="P136" s="179"/>
    </row>
    <row r="137" spans="16:16" ht="20.100000000000001" customHeight="1">
      <c r="P137" s="179"/>
    </row>
    <row r="138" spans="16:16" ht="20.100000000000001" customHeight="1">
      <c r="P138" s="179"/>
    </row>
    <row r="139" spans="16:16" ht="20.100000000000001" customHeight="1">
      <c r="P139" s="179"/>
    </row>
    <row r="140" spans="16:16" ht="20.100000000000001" customHeight="1">
      <c r="P140" s="179"/>
    </row>
    <row r="141" spans="16:16" ht="20.100000000000001" customHeight="1">
      <c r="P141" s="179"/>
    </row>
    <row r="142" spans="16:16" ht="20.100000000000001" customHeight="1">
      <c r="P142" s="179"/>
    </row>
    <row r="143" spans="16:16" ht="20.100000000000001" customHeight="1">
      <c r="P143" s="179"/>
    </row>
    <row r="144" spans="16:16" ht="20.100000000000001" customHeight="1">
      <c r="P144" s="179"/>
    </row>
    <row r="145" spans="16:16" ht="20.100000000000001" customHeight="1">
      <c r="P145" s="179"/>
    </row>
    <row r="146" spans="16:16" ht="20.100000000000001" customHeight="1">
      <c r="P146" s="179"/>
    </row>
    <row r="147" spans="16:16" ht="20.100000000000001" customHeight="1">
      <c r="P147" s="179"/>
    </row>
    <row r="148" spans="16:16" ht="20.100000000000001" customHeight="1">
      <c r="P148" s="179"/>
    </row>
    <row r="149" spans="16:16" ht="20.100000000000001" customHeight="1">
      <c r="P149" s="179"/>
    </row>
    <row r="150" spans="16:16" ht="20.100000000000001" customHeight="1">
      <c r="P150" s="179"/>
    </row>
    <row r="151" spans="16:16" ht="20.100000000000001" customHeight="1">
      <c r="P151" s="179"/>
    </row>
    <row r="152" spans="16:16" ht="20.100000000000001" customHeight="1">
      <c r="P152" s="179"/>
    </row>
    <row r="153" spans="16:16" ht="20.100000000000001" customHeight="1">
      <c r="P153" s="179"/>
    </row>
    <row r="154" spans="16:16" ht="20.100000000000001" customHeight="1">
      <c r="P154" s="179"/>
    </row>
    <row r="155" spans="16:16" ht="20.100000000000001" customHeight="1">
      <c r="P155" s="179"/>
    </row>
    <row r="156" spans="16:16" ht="20.100000000000001" customHeight="1">
      <c r="P156" s="179"/>
    </row>
    <row r="157" spans="16:16" ht="20.100000000000001" customHeight="1">
      <c r="P157" s="179"/>
    </row>
    <row r="158" spans="16:16" ht="20.100000000000001" customHeight="1">
      <c r="P158" s="179"/>
    </row>
    <row r="159" spans="16:16" ht="20.100000000000001" customHeight="1">
      <c r="P159" s="179"/>
    </row>
    <row r="160" spans="16:16" ht="20.100000000000001" customHeight="1">
      <c r="P160" s="179"/>
    </row>
    <row r="161" spans="16:16" ht="20.100000000000001" customHeight="1">
      <c r="P161" s="179"/>
    </row>
    <row r="162" spans="16:16" ht="20.100000000000001" customHeight="1">
      <c r="P162" s="179"/>
    </row>
    <row r="163" spans="16:16" ht="20.100000000000001" customHeight="1">
      <c r="P163" s="179"/>
    </row>
    <row r="164" spans="16:16" ht="20.100000000000001" customHeight="1">
      <c r="P164" s="179"/>
    </row>
    <row r="165" spans="16:16" ht="20.100000000000001" customHeight="1">
      <c r="P165" s="179"/>
    </row>
    <row r="166" spans="16:16" ht="20.100000000000001" customHeight="1">
      <c r="P166" s="179"/>
    </row>
    <row r="167" spans="16:16" ht="20.100000000000001" customHeight="1">
      <c r="P167" s="179"/>
    </row>
    <row r="168" spans="16:16" ht="20.100000000000001" customHeight="1">
      <c r="P168" s="179"/>
    </row>
    <row r="169" spans="16:16" ht="20.100000000000001" customHeight="1">
      <c r="P169" s="179"/>
    </row>
    <row r="170" spans="16:16" ht="20.100000000000001" customHeight="1">
      <c r="P170" s="179"/>
    </row>
    <row r="171" spans="16:16" ht="20.100000000000001" customHeight="1">
      <c r="P171" s="179"/>
    </row>
    <row r="172" spans="16:16" ht="20.100000000000001" customHeight="1">
      <c r="P172" s="179"/>
    </row>
    <row r="173" spans="16:16" ht="20.100000000000001" customHeight="1">
      <c r="P173" s="179"/>
    </row>
    <row r="174" spans="16:16" ht="20.100000000000001" customHeight="1">
      <c r="P174" s="179"/>
    </row>
    <row r="175" spans="16:16" ht="20.100000000000001" customHeight="1">
      <c r="P175" s="179"/>
    </row>
    <row r="176" spans="16:16" ht="20.100000000000001" customHeight="1">
      <c r="P176" s="179"/>
    </row>
    <row r="177" spans="16:16" ht="20.100000000000001" customHeight="1">
      <c r="P177" s="179"/>
    </row>
    <row r="178" spans="16:16" ht="20.100000000000001" customHeight="1">
      <c r="P178" s="179"/>
    </row>
    <row r="179" spans="16:16" ht="20.100000000000001" customHeight="1">
      <c r="P179" s="179"/>
    </row>
    <row r="180" spans="16:16" ht="20.100000000000001" customHeight="1">
      <c r="P180" s="179"/>
    </row>
    <row r="181" spans="16:16" ht="20.100000000000001" customHeight="1">
      <c r="P181" s="179"/>
    </row>
    <row r="182" spans="16:16" ht="20.100000000000001" customHeight="1">
      <c r="P182" s="179"/>
    </row>
    <row r="183" spans="16:16" ht="20.100000000000001" customHeight="1">
      <c r="P183" s="179"/>
    </row>
    <row r="184" spans="16:16" ht="20.100000000000001" customHeight="1">
      <c r="P184" s="179"/>
    </row>
    <row r="185" spans="16:16" ht="20.100000000000001" customHeight="1">
      <c r="P185" s="179"/>
    </row>
    <row r="186" spans="16:16" ht="20.100000000000001" customHeight="1">
      <c r="P186" s="179"/>
    </row>
    <row r="187" spans="16:16" ht="20.100000000000001" customHeight="1">
      <c r="P187" s="179"/>
    </row>
    <row r="188" spans="16:16" ht="20.100000000000001" customHeight="1">
      <c r="P188" s="179"/>
    </row>
    <row r="189" spans="16:16" ht="20.100000000000001" customHeight="1">
      <c r="P189" s="179"/>
    </row>
    <row r="190" spans="16:16" ht="20.100000000000001" customHeight="1">
      <c r="P190" s="179"/>
    </row>
    <row r="191" spans="16:16" ht="20.100000000000001" customHeight="1">
      <c r="P191" s="179"/>
    </row>
    <row r="192" spans="16:16" ht="20.100000000000001" customHeight="1">
      <c r="P192" s="178"/>
    </row>
    <row r="193" spans="16:16" ht="20.100000000000001" customHeight="1">
      <c r="P193" s="179"/>
    </row>
    <row r="194" spans="16:16" ht="20.100000000000001" customHeight="1">
      <c r="P194" s="179"/>
    </row>
    <row r="195" spans="16:16" ht="20.100000000000001" customHeight="1">
      <c r="P195" s="179"/>
    </row>
    <row r="196" spans="16:16" ht="20.100000000000001" customHeight="1">
      <c r="P196" s="179"/>
    </row>
    <row r="197" spans="16:16" ht="20.100000000000001" customHeight="1">
      <c r="P197" s="179"/>
    </row>
    <row r="198" spans="16:16" ht="20.100000000000001" customHeight="1">
      <c r="P198" s="179"/>
    </row>
    <row r="199" spans="16:16" ht="20.100000000000001" customHeight="1">
      <c r="P199" s="179"/>
    </row>
    <row r="200" spans="16:16" ht="20.100000000000001" customHeight="1">
      <c r="P200" s="179"/>
    </row>
    <row r="201" spans="16:16" ht="20.100000000000001" customHeight="1">
      <c r="P201" s="179"/>
    </row>
    <row r="202" spans="16:16" ht="20.100000000000001" customHeight="1">
      <c r="P202" s="179"/>
    </row>
    <row r="203" spans="16:16" ht="20.100000000000001" customHeight="1">
      <c r="P203" s="179"/>
    </row>
    <row r="204" spans="16:16" ht="20.100000000000001" customHeight="1">
      <c r="P204" s="179"/>
    </row>
    <row r="205" spans="16:16" ht="20.100000000000001" customHeight="1">
      <c r="P205" s="179"/>
    </row>
    <row r="206" spans="16:16" ht="20.100000000000001" customHeight="1">
      <c r="P206" s="179"/>
    </row>
    <row r="207" spans="16:16" ht="20.100000000000001" customHeight="1">
      <c r="P207" s="179"/>
    </row>
    <row r="208" spans="16:16" ht="20.100000000000001" customHeight="1">
      <c r="P208" s="179"/>
    </row>
    <row r="209" spans="16:16" ht="20.100000000000001" customHeight="1">
      <c r="P209" s="179"/>
    </row>
    <row r="210" spans="16:16" ht="20.100000000000001" customHeight="1">
      <c r="P210" s="179"/>
    </row>
    <row r="211" spans="16:16" ht="20.100000000000001" customHeight="1">
      <c r="P211" s="179"/>
    </row>
    <row r="212" spans="16:16" ht="20.100000000000001" customHeight="1">
      <c r="P212" s="179"/>
    </row>
    <row r="213" spans="16:16" ht="20.100000000000001" customHeight="1">
      <c r="P213" s="179"/>
    </row>
    <row r="214" spans="16:16" ht="20.100000000000001" customHeight="1">
      <c r="P214" s="179"/>
    </row>
    <row r="215" spans="16:16" ht="20.100000000000001" customHeight="1">
      <c r="P215" s="179"/>
    </row>
    <row r="216" spans="16:16" ht="20.100000000000001" customHeight="1">
      <c r="P216" s="179"/>
    </row>
    <row r="217" spans="16:16" ht="20.100000000000001" customHeight="1">
      <c r="P217" s="179"/>
    </row>
    <row r="218" spans="16:16" ht="20.100000000000001" customHeight="1">
      <c r="P218" s="179"/>
    </row>
    <row r="219" spans="16:16" ht="20.100000000000001" customHeight="1">
      <c r="P219" s="179"/>
    </row>
    <row r="220" spans="16:16" ht="20.100000000000001" customHeight="1">
      <c r="P220" s="179"/>
    </row>
    <row r="221" spans="16:16" ht="20.100000000000001" customHeight="1">
      <c r="P221" s="179"/>
    </row>
    <row r="222" spans="16:16" ht="20.100000000000001" customHeight="1">
      <c r="P222" s="179"/>
    </row>
    <row r="223" spans="16:16" ht="20.100000000000001" customHeight="1">
      <c r="P223" s="179"/>
    </row>
    <row r="224" spans="16:16" ht="20.100000000000001" customHeight="1">
      <c r="P224" s="179"/>
    </row>
    <row r="225" spans="16:16" ht="20.100000000000001" customHeight="1">
      <c r="P225" s="179"/>
    </row>
    <row r="226" spans="16:16" ht="20.100000000000001" customHeight="1">
      <c r="P226" s="179"/>
    </row>
    <row r="227" spans="16:16" ht="20.100000000000001" customHeight="1">
      <c r="P227" s="179"/>
    </row>
    <row r="228" spans="16:16" ht="20.100000000000001" customHeight="1">
      <c r="P228" s="179"/>
    </row>
    <row r="229" spans="16:16" ht="20.100000000000001" customHeight="1">
      <c r="P229" s="179"/>
    </row>
    <row r="230" spans="16:16" ht="20.100000000000001" customHeight="1">
      <c r="P230" s="179"/>
    </row>
    <row r="231" spans="16:16" ht="20.100000000000001" customHeight="1">
      <c r="P231" s="179"/>
    </row>
    <row r="232" spans="16:16" ht="20.100000000000001" customHeight="1">
      <c r="P232" s="179"/>
    </row>
    <row r="233" spans="16:16" ht="20.100000000000001" customHeight="1">
      <c r="P233" s="179"/>
    </row>
    <row r="234" spans="16:16" ht="20.100000000000001" customHeight="1">
      <c r="P234" s="179"/>
    </row>
    <row r="235" spans="16:16" ht="20.100000000000001" customHeight="1">
      <c r="P235" s="179"/>
    </row>
    <row r="236" spans="16:16" ht="20.100000000000001" customHeight="1">
      <c r="P236" s="179"/>
    </row>
    <row r="237" spans="16:16" ht="20.100000000000001" customHeight="1">
      <c r="P237" s="179"/>
    </row>
    <row r="238" spans="16:16" ht="20.100000000000001" customHeight="1">
      <c r="P238" s="179"/>
    </row>
    <row r="239" spans="16:16" ht="20.100000000000001" customHeight="1">
      <c r="P239" s="179"/>
    </row>
    <row r="240" spans="16:16" ht="20.100000000000001" customHeight="1">
      <c r="P240" s="179"/>
    </row>
    <row r="241" spans="16:16" ht="20.100000000000001" customHeight="1">
      <c r="P241" s="179"/>
    </row>
    <row r="242" spans="16:16" ht="20.100000000000001" customHeight="1">
      <c r="P242" s="179"/>
    </row>
    <row r="243" spans="16:16" ht="20.100000000000001" customHeight="1">
      <c r="P243" s="179"/>
    </row>
    <row r="244" spans="16:16" ht="20.100000000000001" customHeight="1">
      <c r="P244" s="179"/>
    </row>
    <row r="245" spans="16:16" ht="20.100000000000001" customHeight="1">
      <c r="P245" s="179"/>
    </row>
    <row r="246" spans="16:16" ht="20.100000000000001" customHeight="1">
      <c r="P246" s="179"/>
    </row>
    <row r="247" spans="16:16" ht="20.100000000000001" customHeight="1">
      <c r="P247" s="179"/>
    </row>
    <row r="248" spans="16:16" ht="20.100000000000001" customHeight="1">
      <c r="P248" s="179"/>
    </row>
    <row r="249" spans="16:16" ht="20.100000000000001" customHeight="1">
      <c r="P249" s="179"/>
    </row>
    <row r="250" spans="16:16" ht="20.100000000000001" customHeight="1">
      <c r="P250" s="179"/>
    </row>
    <row r="251" spans="16:16" ht="20.100000000000001" customHeight="1">
      <c r="P251" s="179"/>
    </row>
    <row r="252" spans="16:16" ht="20.100000000000001" customHeight="1">
      <c r="P252" s="179"/>
    </row>
    <row r="253" spans="16:16" ht="20.100000000000001" customHeight="1">
      <c r="P253" s="179"/>
    </row>
    <row r="254" spans="16:16" ht="20.100000000000001" customHeight="1">
      <c r="P254" s="179"/>
    </row>
    <row r="255" spans="16:16" ht="20.100000000000001" customHeight="1">
      <c r="P255" s="179"/>
    </row>
    <row r="256" spans="16:16" ht="20.100000000000001" customHeight="1">
      <c r="P256" s="179"/>
    </row>
    <row r="257" spans="16:16" ht="20.100000000000001" customHeight="1">
      <c r="P257" s="179"/>
    </row>
    <row r="258" spans="16:16" ht="20.100000000000001" customHeight="1">
      <c r="P258" s="179"/>
    </row>
    <row r="259" spans="16:16" ht="20.100000000000001" customHeight="1">
      <c r="P259" s="179"/>
    </row>
    <row r="260" spans="16:16" ht="20.100000000000001" customHeight="1">
      <c r="P260" s="179"/>
    </row>
    <row r="261" spans="16:16" ht="20.100000000000001" customHeight="1">
      <c r="P261" s="179"/>
    </row>
    <row r="262" spans="16:16" ht="20.100000000000001" customHeight="1">
      <c r="P262" s="179"/>
    </row>
    <row r="263" spans="16:16" ht="20.100000000000001" customHeight="1">
      <c r="P263" s="179"/>
    </row>
    <row r="264" spans="16:16" ht="20.100000000000001" customHeight="1">
      <c r="P264" s="179"/>
    </row>
    <row r="265" spans="16:16" ht="20.100000000000001" customHeight="1">
      <c r="P265" s="179"/>
    </row>
    <row r="266" spans="16:16" ht="20.100000000000001" customHeight="1">
      <c r="P266" s="179"/>
    </row>
    <row r="267" spans="16:16" ht="20.100000000000001" customHeight="1">
      <c r="P267" s="179"/>
    </row>
    <row r="268" spans="16:16" ht="20.100000000000001" customHeight="1">
      <c r="P268" s="179"/>
    </row>
    <row r="269" spans="16:16" ht="20.100000000000001" customHeight="1">
      <c r="P269" s="179"/>
    </row>
    <row r="270" spans="16:16" ht="20.100000000000001" customHeight="1">
      <c r="P270" s="179"/>
    </row>
    <row r="271" spans="16:16" ht="20.100000000000001" customHeight="1">
      <c r="P271" s="179"/>
    </row>
    <row r="272" spans="16:16" ht="20.100000000000001" customHeight="1">
      <c r="P272" s="179"/>
    </row>
    <row r="273" spans="16:16" ht="20.100000000000001" customHeight="1">
      <c r="P273" s="179"/>
    </row>
    <row r="274" spans="16:16" ht="20.100000000000001" customHeight="1">
      <c r="P274" s="179"/>
    </row>
    <row r="275" spans="16:16" ht="20.100000000000001" customHeight="1">
      <c r="P275" s="179"/>
    </row>
    <row r="276" spans="16:16" ht="20.100000000000001" customHeight="1">
      <c r="P276" s="179"/>
    </row>
    <row r="277" spans="16:16" ht="20.100000000000001" customHeight="1">
      <c r="P277" s="179"/>
    </row>
    <row r="278" spans="16:16" ht="20.100000000000001" customHeight="1">
      <c r="P278" s="179"/>
    </row>
    <row r="279" spans="16:16" ht="20.100000000000001" customHeight="1">
      <c r="P279" s="179"/>
    </row>
    <row r="280" spans="16:16" ht="20.100000000000001" customHeight="1">
      <c r="P280" s="179"/>
    </row>
    <row r="281" spans="16:16" ht="20.100000000000001" customHeight="1">
      <c r="P281" s="179"/>
    </row>
    <row r="282" spans="16:16" ht="20.100000000000001" customHeight="1">
      <c r="P282" s="179"/>
    </row>
    <row r="283" spans="16:16" ht="20.100000000000001" customHeight="1">
      <c r="P283" s="179"/>
    </row>
    <row r="284" spans="16:16" ht="20.100000000000001" customHeight="1">
      <c r="P284" s="179"/>
    </row>
    <row r="285" spans="16:16" ht="20.100000000000001" customHeight="1">
      <c r="P285" s="179"/>
    </row>
    <row r="286" spans="16:16" ht="20.100000000000001" customHeight="1">
      <c r="P286" s="179"/>
    </row>
    <row r="287" spans="16:16" ht="20.100000000000001" customHeight="1">
      <c r="P287" s="179"/>
    </row>
    <row r="288" spans="16:16" ht="20.100000000000001" customHeight="1">
      <c r="P288" s="179"/>
    </row>
    <row r="289" spans="16:16" ht="20.100000000000001" customHeight="1">
      <c r="P289" s="179"/>
    </row>
    <row r="290" spans="16:16" ht="20.100000000000001" customHeight="1">
      <c r="P290" s="179"/>
    </row>
    <row r="291" spans="16:16" ht="20.100000000000001" customHeight="1">
      <c r="P291" s="179"/>
    </row>
    <row r="292" spans="16:16" ht="20.100000000000001" customHeight="1">
      <c r="P292" s="179"/>
    </row>
    <row r="293" spans="16:16" ht="20.100000000000001" customHeight="1">
      <c r="P293" s="179"/>
    </row>
    <row r="294" spans="16:16" ht="20.100000000000001" customHeight="1">
      <c r="P294" s="179"/>
    </row>
    <row r="295" spans="16:16" ht="20.100000000000001" customHeight="1">
      <c r="P295" s="179"/>
    </row>
    <row r="296" spans="16:16" ht="20.100000000000001" customHeight="1">
      <c r="P296" s="179"/>
    </row>
    <row r="297" spans="16:16" ht="20.100000000000001" customHeight="1">
      <c r="P297" s="179"/>
    </row>
    <row r="298" spans="16:16" ht="20.100000000000001" customHeight="1">
      <c r="P298" s="179"/>
    </row>
    <row r="299" spans="16:16" ht="20.100000000000001" customHeight="1">
      <c r="P299" s="179"/>
    </row>
    <row r="300" spans="16:16" ht="20.100000000000001" customHeight="1">
      <c r="P300" s="179"/>
    </row>
    <row r="301" spans="16:16" ht="20.100000000000001" customHeight="1">
      <c r="P301" s="179"/>
    </row>
    <row r="302" spans="16:16" ht="20.100000000000001" customHeight="1">
      <c r="P302" s="179"/>
    </row>
    <row r="303" spans="16:16" ht="20.100000000000001" customHeight="1">
      <c r="P303" s="179"/>
    </row>
    <row r="304" spans="16:16" ht="20.100000000000001" customHeight="1">
      <c r="P304" s="179"/>
    </row>
    <row r="305" spans="16:16" ht="20.100000000000001" customHeight="1">
      <c r="P305" s="179"/>
    </row>
    <row r="306" spans="16:16" ht="20.100000000000001" customHeight="1">
      <c r="P306" s="179"/>
    </row>
    <row r="307" spans="16:16" ht="20.100000000000001" customHeight="1">
      <c r="P307" s="179"/>
    </row>
    <row r="308" spans="16:16" ht="20.100000000000001" customHeight="1">
      <c r="P308" s="179"/>
    </row>
    <row r="309" spans="16:16" ht="20.100000000000001" customHeight="1">
      <c r="P309" s="179"/>
    </row>
    <row r="310" spans="16:16" ht="20.100000000000001" customHeight="1">
      <c r="P310" s="179"/>
    </row>
    <row r="311" spans="16:16" ht="20.100000000000001" customHeight="1">
      <c r="P311" s="179"/>
    </row>
    <row r="312" spans="16:16" ht="20.100000000000001" customHeight="1">
      <c r="P312" s="179"/>
    </row>
    <row r="313" spans="16:16" ht="20.100000000000001" customHeight="1">
      <c r="P313" s="179"/>
    </row>
    <row r="314" spans="16:16" ht="20.100000000000001" customHeight="1">
      <c r="P314" s="179"/>
    </row>
    <row r="315" spans="16:16" ht="20.100000000000001" customHeight="1">
      <c r="P315" s="179"/>
    </row>
    <row r="316" spans="16:16" ht="20.100000000000001" customHeight="1">
      <c r="P316" s="179"/>
    </row>
    <row r="317" spans="16:16" ht="20.100000000000001" customHeight="1">
      <c r="P317" s="176"/>
    </row>
    <row r="318" spans="16:16" ht="20.100000000000001" customHeight="1">
      <c r="P318" s="180"/>
    </row>
    <row r="319" spans="16:16" ht="20.100000000000001" customHeight="1">
      <c r="P319" s="180"/>
    </row>
    <row r="320" spans="16:16" ht="20.100000000000001" customHeight="1">
      <c r="P320" s="180"/>
    </row>
    <row r="321" spans="16:16" ht="20.100000000000001" customHeight="1">
      <c r="P321" s="180"/>
    </row>
    <row r="322" spans="16:16" ht="20.100000000000001" customHeight="1">
      <c r="P322" s="180"/>
    </row>
    <row r="323" spans="16:16" ht="20.100000000000001" customHeight="1">
      <c r="P323" s="180"/>
    </row>
    <row r="324" spans="16:16" ht="20.100000000000001" customHeight="1">
      <c r="P324" s="180"/>
    </row>
    <row r="325" spans="16:16" ht="20.100000000000001" customHeight="1">
      <c r="P325" s="180"/>
    </row>
    <row r="326" spans="16:16" ht="20.100000000000001" customHeight="1">
      <c r="P326" s="180"/>
    </row>
    <row r="327" spans="16:16" ht="20.100000000000001" customHeight="1">
      <c r="P327" s="180"/>
    </row>
    <row r="328" spans="16:16" ht="20.100000000000001" customHeight="1">
      <c r="P328" s="180"/>
    </row>
    <row r="329" spans="16:16" ht="20.100000000000001" customHeight="1">
      <c r="P329" s="180"/>
    </row>
    <row r="330" spans="16:16" ht="20.100000000000001" customHeight="1">
      <c r="P330" s="180"/>
    </row>
    <row r="331" spans="16:16" ht="20.100000000000001" customHeight="1">
      <c r="P331" s="180"/>
    </row>
    <row r="332" spans="16:16" ht="20.100000000000001" customHeight="1">
      <c r="P332" s="180"/>
    </row>
    <row r="333" spans="16:16" ht="20.100000000000001" customHeight="1">
      <c r="P333" s="180"/>
    </row>
    <row r="334" spans="16:16" ht="20.100000000000001" customHeight="1">
      <c r="P334" s="180"/>
    </row>
    <row r="335" spans="16:16" ht="20.100000000000001" customHeight="1">
      <c r="P335" s="180"/>
    </row>
    <row r="336" spans="16:16" ht="20.100000000000001" customHeight="1">
      <c r="P336" s="180"/>
    </row>
    <row r="337" spans="16:16" ht="20.100000000000001" customHeight="1">
      <c r="P337" s="180"/>
    </row>
    <row r="338" spans="16:16" ht="20.100000000000001" customHeight="1">
      <c r="P338" s="180"/>
    </row>
    <row r="339" spans="16:16" ht="20.100000000000001" customHeight="1">
      <c r="P339" s="180"/>
    </row>
    <row r="340" spans="16:16" ht="20.100000000000001" customHeight="1">
      <c r="P340" s="180"/>
    </row>
    <row r="341" spans="16:16" ht="20.100000000000001" customHeight="1">
      <c r="P341" s="180"/>
    </row>
    <row r="342" spans="16:16" ht="20.100000000000001" customHeight="1">
      <c r="P342" s="180"/>
    </row>
    <row r="343" spans="16:16" ht="20.100000000000001" customHeight="1">
      <c r="P343" s="180"/>
    </row>
    <row r="344" spans="16:16" ht="20.100000000000001" customHeight="1">
      <c r="P344" s="180"/>
    </row>
    <row r="345" spans="16:16" ht="20.100000000000001" customHeight="1">
      <c r="P345" s="180"/>
    </row>
    <row r="346" spans="16:16" ht="20.100000000000001" customHeight="1">
      <c r="P346" s="180"/>
    </row>
    <row r="347" spans="16:16" ht="20.100000000000001" customHeight="1">
      <c r="P347" s="180"/>
    </row>
    <row r="348" spans="16:16" ht="20.100000000000001" customHeight="1">
      <c r="P348" s="180"/>
    </row>
    <row r="349" spans="16:16" ht="20.100000000000001" customHeight="1">
      <c r="P349" s="180"/>
    </row>
    <row r="350" spans="16:16" ht="20.100000000000001" customHeight="1">
      <c r="P350" s="180"/>
    </row>
    <row r="351" spans="16:16" ht="20.100000000000001" customHeight="1">
      <c r="P351" s="180"/>
    </row>
    <row r="352" spans="16:16" ht="20.100000000000001" customHeight="1">
      <c r="P352" s="180"/>
    </row>
    <row r="353" spans="16:16" ht="20.100000000000001" customHeight="1">
      <c r="P353" s="180"/>
    </row>
    <row r="354" spans="16:16" ht="20.100000000000001" customHeight="1">
      <c r="P354" s="180"/>
    </row>
    <row r="355" spans="16:16" ht="20.100000000000001" customHeight="1">
      <c r="P355" s="180"/>
    </row>
    <row r="356" spans="16:16" ht="20.100000000000001" customHeight="1">
      <c r="P356" s="180"/>
    </row>
    <row r="357" spans="16:16" ht="20.100000000000001" customHeight="1">
      <c r="P357" s="180"/>
    </row>
    <row r="358" spans="16:16" ht="20.100000000000001" customHeight="1">
      <c r="P358" s="180"/>
    </row>
    <row r="359" spans="16:16" ht="20.100000000000001" customHeight="1">
      <c r="P359" s="180"/>
    </row>
    <row r="360" spans="16:16" ht="20.100000000000001" customHeight="1">
      <c r="P360" s="180"/>
    </row>
    <row r="361" spans="16:16" ht="20.100000000000001" customHeight="1">
      <c r="P361" s="180"/>
    </row>
    <row r="362" spans="16:16" ht="20.100000000000001" customHeight="1">
      <c r="P362" s="180"/>
    </row>
    <row r="363" spans="16:16" ht="20.100000000000001" customHeight="1">
      <c r="P363" s="180"/>
    </row>
    <row r="364" spans="16:16" ht="20.100000000000001" customHeight="1">
      <c r="P364" s="180"/>
    </row>
    <row r="365" spans="16:16" ht="20.100000000000001" customHeight="1">
      <c r="P365" s="180"/>
    </row>
    <row r="366" spans="16:16" ht="20.100000000000001" customHeight="1">
      <c r="P366" s="180"/>
    </row>
    <row r="367" spans="16:16" ht="20.100000000000001" customHeight="1">
      <c r="P367" s="180"/>
    </row>
    <row r="368" spans="16:16" ht="20.100000000000001" customHeight="1">
      <c r="P368" s="180"/>
    </row>
    <row r="369" spans="16:16" ht="20.100000000000001" customHeight="1">
      <c r="P369" s="180"/>
    </row>
    <row r="370" spans="16:16" ht="20.100000000000001" customHeight="1">
      <c r="P370" s="180"/>
    </row>
    <row r="371" spans="16:16" ht="20.100000000000001" customHeight="1">
      <c r="P371" s="180"/>
    </row>
    <row r="372" spans="16:16" ht="20.100000000000001" customHeight="1">
      <c r="P372" s="180"/>
    </row>
    <row r="373" spans="16:16" ht="20.100000000000001" customHeight="1">
      <c r="P373" s="180"/>
    </row>
    <row r="374" spans="16:16" ht="20.100000000000001" customHeight="1">
      <c r="P374" s="180"/>
    </row>
    <row r="375" spans="16:16" ht="20.100000000000001" customHeight="1">
      <c r="P375" s="180"/>
    </row>
    <row r="376" spans="16:16" ht="20.100000000000001" customHeight="1">
      <c r="P376" s="180"/>
    </row>
    <row r="377" spans="16:16" ht="20.100000000000001" customHeight="1">
      <c r="P377" s="180"/>
    </row>
    <row r="378" spans="16:16" ht="20.100000000000001" customHeight="1">
      <c r="P378" s="180"/>
    </row>
    <row r="379" spans="16:16" ht="20.100000000000001" customHeight="1">
      <c r="P379" s="180"/>
    </row>
    <row r="380" spans="16:16" ht="20.100000000000001" customHeight="1">
      <c r="P380" s="180"/>
    </row>
    <row r="381" spans="16:16" ht="20.100000000000001" customHeight="1">
      <c r="P381" s="180"/>
    </row>
    <row r="382" spans="16:16" ht="20.100000000000001" customHeight="1">
      <c r="P382" s="180"/>
    </row>
    <row r="383" spans="16:16" ht="20.100000000000001" customHeight="1">
      <c r="P383" s="180"/>
    </row>
    <row r="384" spans="16:16" ht="20.100000000000001" customHeight="1">
      <c r="P384" s="180"/>
    </row>
    <row r="385" spans="16:16" ht="20.100000000000001" customHeight="1">
      <c r="P385" s="180"/>
    </row>
    <row r="386" spans="16:16" ht="20.100000000000001" customHeight="1">
      <c r="P386" s="180"/>
    </row>
    <row r="387" spans="16:16" ht="20.100000000000001" customHeight="1">
      <c r="P387" s="180"/>
    </row>
    <row r="388" spans="16:16" ht="20.100000000000001" customHeight="1">
      <c r="P388" s="180"/>
    </row>
    <row r="389" spans="16:16" ht="20.100000000000001" customHeight="1">
      <c r="P389" s="180"/>
    </row>
    <row r="390" spans="16:16" ht="20.100000000000001" customHeight="1">
      <c r="P390" s="180"/>
    </row>
    <row r="391" spans="16:16" ht="20.100000000000001" customHeight="1">
      <c r="P391" s="180"/>
    </row>
    <row r="392" spans="16:16" ht="20.100000000000001" customHeight="1">
      <c r="P392" s="180"/>
    </row>
    <row r="393" spans="16:16" ht="20.100000000000001" customHeight="1">
      <c r="P393" s="180"/>
    </row>
    <row r="394" spans="16:16" ht="20.100000000000001" customHeight="1">
      <c r="P394" s="180"/>
    </row>
    <row r="395" spans="16:16" ht="20.100000000000001" customHeight="1">
      <c r="P395" s="180"/>
    </row>
    <row r="396" spans="16:16" ht="20.100000000000001" customHeight="1">
      <c r="P396" s="180"/>
    </row>
    <row r="397" spans="16:16" ht="20.100000000000001" customHeight="1">
      <c r="P397" s="180"/>
    </row>
    <row r="398" spans="16:16" ht="20.100000000000001" customHeight="1">
      <c r="P398" s="180"/>
    </row>
    <row r="399" spans="16:16" ht="20.100000000000001" customHeight="1">
      <c r="P399" s="180"/>
    </row>
    <row r="400" spans="16:16" ht="20.100000000000001" customHeight="1">
      <c r="P400" s="180"/>
    </row>
    <row r="401" spans="16:16" ht="20.100000000000001" customHeight="1">
      <c r="P401" s="180"/>
    </row>
    <row r="402" spans="16:16" ht="20.100000000000001" customHeight="1">
      <c r="P402" s="180"/>
    </row>
    <row r="403" spans="16:16" ht="20.100000000000001" customHeight="1">
      <c r="P403" s="180"/>
    </row>
    <row r="404" spans="16:16" ht="20.100000000000001" customHeight="1">
      <c r="P404" s="180"/>
    </row>
    <row r="405" spans="16:16" ht="20.100000000000001" customHeight="1">
      <c r="P405" s="180"/>
    </row>
    <row r="406" spans="16:16" ht="20.100000000000001" customHeight="1">
      <c r="P406" s="180"/>
    </row>
    <row r="407" spans="16:16" ht="20.100000000000001" customHeight="1">
      <c r="P407" s="180"/>
    </row>
    <row r="408" spans="16:16" ht="20.100000000000001" customHeight="1">
      <c r="P408" s="180"/>
    </row>
    <row r="409" spans="16:16" ht="20.100000000000001" customHeight="1">
      <c r="P409" s="180"/>
    </row>
    <row r="410" spans="16:16" ht="20.100000000000001" customHeight="1">
      <c r="P410" s="180"/>
    </row>
    <row r="411" spans="16:16" ht="20.100000000000001" customHeight="1">
      <c r="P411" s="180"/>
    </row>
    <row r="412" spans="16:16" ht="20.100000000000001" customHeight="1">
      <c r="P412" s="180"/>
    </row>
    <row r="413" spans="16:16" ht="20.100000000000001" customHeight="1">
      <c r="P413" s="180"/>
    </row>
    <row r="414" spans="16:16" ht="20.100000000000001" customHeight="1">
      <c r="P414" s="180"/>
    </row>
    <row r="415" spans="16:16" ht="20.100000000000001" customHeight="1">
      <c r="P415" s="180"/>
    </row>
    <row r="416" spans="16:16" ht="20.100000000000001" customHeight="1">
      <c r="P416" s="180"/>
    </row>
    <row r="417" spans="16:16" ht="20.100000000000001" customHeight="1">
      <c r="P417" s="180"/>
    </row>
    <row r="418" spans="16:16" ht="20.100000000000001" customHeight="1">
      <c r="P418" s="180"/>
    </row>
    <row r="419" spans="16:16" ht="20.100000000000001" customHeight="1">
      <c r="P419" s="180"/>
    </row>
    <row r="420" spans="16:16" ht="20.100000000000001" customHeight="1">
      <c r="P420" s="180"/>
    </row>
    <row r="421" spans="16:16" ht="20.100000000000001" customHeight="1">
      <c r="P421" s="180"/>
    </row>
    <row r="422" spans="16:16" ht="20.100000000000001" customHeight="1">
      <c r="P422" s="180"/>
    </row>
    <row r="423" spans="16:16" ht="20.100000000000001" customHeight="1">
      <c r="P423" s="180"/>
    </row>
  </sheetData>
  <mergeCells count="22">
    <mergeCell ref="Q4:Q5"/>
    <mergeCell ref="A5:L5"/>
    <mergeCell ref="A6:L6"/>
    <mergeCell ref="A7:D7"/>
    <mergeCell ref="E7:L7"/>
    <mergeCell ref="A1:M1"/>
    <mergeCell ref="A3:M3"/>
    <mergeCell ref="A4:L4"/>
    <mergeCell ref="M4:M5"/>
    <mergeCell ref="N4:N5"/>
    <mergeCell ref="N3:O3"/>
    <mergeCell ref="O4:O5"/>
    <mergeCell ref="F8:L8"/>
    <mergeCell ref="E13:I13"/>
    <mergeCell ref="J13:K13"/>
    <mergeCell ref="E10:H10"/>
    <mergeCell ref="I10:L10"/>
    <mergeCell ref="E11:J11"/>
    <mergeCell ref="E12:K12"/>
    <mergeCell ref="C9:F9"/>
    <mergeCell ref="G9:L9"/>
    <mergeCell ref="B8:E8"/>
  </mergeCells>
  <phoneticPr fontId="2" type="noConversion"/>
  <pageMargins left="0.70866141732283472" right="0.70866141732283472" top="1.1417322834645669" bottom="1.1417322834645669" header="0.31496062992125984" footer="0.31496062992125984"/>
  <pageSetup paperSize="9" scale="6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23"/>
  <sheetViews>
    <sheetView zoomScaleNormal="100" workbookViewId="0">
      <selection activeCell="E33" sqref="E33:I33"/>
    </sheetView>
  </sheetViews>
  <sheetFormatPr defaultRowHeight="19.5"/>
  <cols>
    <col min="1" max="8" width="1.625" style="82" customWidth="1"/>
    <col min="9" max="9" width="37.625" style="82" customWidth="1"/>
    <col min="10" max="10" width="23.625" style="82" customWidth="1"/>
    <col min="11" max="11" width="2.625" style="82" customWidth="1"/>
    <col min="12" max="12" width="10.625" style="82" customWidth="1"/>
    <col min="13" max="15" width="12.625" style="82" customWidth="1"/>
    <col min="16" max="16" width="0.875" style="181" hidden="1" customWidth="1"/>
    <col min="17" max="17" width="46.625" style="82" customWidth="1"/>
    <col min="18" max="19" width="10.625" style="82" bestFit="1" customWidth="1"/>
    <col min="20" max="20" width="12" style="82" bestFit="1" customWidth="1"/>
    <col min="21" max="239" width="9" style="82"/>
    <col min="240" max="246" width="1" style="82" customWidth="1"/>
    <col min="247" max="247" width="0.5" style="82" customWidth="1"/>
    <col min="248" max="248" width="31.25" style="82" customWidth="1"/>
    <col min="249" max="249" width="33.5" style="82" customWidth="1"/>
    <col min="250" max="250" width="2.625" style="82" customWidth="1"/>
    <col min="251" max="254" width="10.375" style="82" customWidth="1"/>
    <col min="255" max="257" width="0" style="82" hidden="1" customWidth="1"/>
    <col min="258" max="260" width="12.25" style="82" bestFit="1" customWidth="1"/>
    <col min="261" max="261" width="9" style="82"/>
    <col min="262" max="262" width="11" style="82" bestFit="1" customWidth="1"/>
    <col min="263" max="495" width="9" style="82"/>
    <col min="496" max="502" width="1" style="82" customWidth="1"/>
    <col min="503" max="503" width="0.5" style="82" customWidth="1"/>
    <col min="504" max="504" width="31.25" style="82" customWidth="1"/>
    <col min="505" max="505" width="33.5" style="82" customWidth="1"/>
    <col min="506" max="506" width="2.625" style="82" customWidth="1"/>
    <col min="507" max="510" width="10.375" style="82" customWidth="1"/>
    <col min="511" max="513" width="0" style="82" hidden="1" customWidth="1"/>
    <col min="514" max="516" width="12.25" style="82" bestFit="1" customWidth="1"/>
    <col min="517" max="517" width="9" style="82"/>
    <col min="518" max="518" width="11" style="82" bestFit="1" customWidth="1"/>
    <col min="519" max="751" width="9" style="82"/>
    <col min="752" max="758" width="1" style="82" customWidth="1"/>
    <col min="759" max="759" width="0.5" style="82" customWidth="1"/>
    <col min="760" max="760" width="31.25" style="82" customWidth="1"/>
    <col min="761" max="761" width="33.5" style="82" customWidth="1"/>
    <col min="762" max="762" width="2.625" style="82" customWidth="1"/>
    <col min="763" max="766" width="10.375" style="82" customWidth="1"/>
    <col min="767" max="769" width="0" style="82" hidden="1" customWidth="1"/>
    <col min="770" max="772" width="12.25" style="82" bestFit="1" customWidth="1"/>
    <col min="773" max="773" width="9" style="82"/>
    <col min="774" max="774" width="11" style="82" bestFit="1" customWidth="1"/>
    <col min="775" max="1007" width="9" style="82"/>
    <col min="1008" max="1014" width="1" style="82" customWidth="1"/>
    <col min="1015" max="1015" width="0.5" style="82" customWidth="1"/>
    <col min="1016" max="1016" width="31.25" style="82" customWidth="1"/>
    <col min="1017" max="1017" width="33.5" style="82" customWidth="1"/>
    <col min="1018" max="1018" width="2.625" style="82" customWidth="1"/>
    <col min="1019" max="1022" width="10.375" style="82" customWidth="1"/>
    <col min="1023" max="1025" width="0" style="82" hidden="1" customWidth="1"/>
    <col min="1026" max="1028" width="12.25" style="82" bestFit="1" customWidth="1"/>
    <col min="1029" max="1029" width="9" style="82"/>
    <col min="1030" max="1030" width="11" style="82" bestFit="1" customWidth="1"/>
    <col min="1031" max="1263" width="9" style="82"/>
    <col min="1264" max="1270" width="1" style="82" customWidth="1"/>
    <col min="1271" max="1271" width="0.5" style="82" customWidth="1"/>
    <col min="1272" max="1272" width="31.25" style="82" customWidth="1"/>
    <col min="1273" max="1273" width="33.5" style="82" customWidth="1"/>
    <col min="1274" max="1274" width="2.625" style="82" customWidth="1"/>
    <col min="1275" max="1278" width="10.375" style="82" customWidth="1"/>
    <col min="1279" max="1281" width="0" style="82" hidden="1" customWidth="1"/>
    <col min="1282" max="1284" width="12.25" style="82" bestFit="1" customWidth="1"/>
    <col min="1285" max="1285" width="9" style="82"/>
    <col min="1286" max="1286" width="11" style="82" bestFit="1" customWidth="1"/>
    <col min="1287" max="1519" width="9" style="82"/>
    <col min="1520" max="1526" width="1" style="82" customWidth="1"/>
    <col min="1527" max="1527" width="0.5" style="82" customWidth="1"/>
    <col min="1528" max="1528" width="31.25" style="82" customWidth="1"/>
    <col min="1529" max="1529" width="33.5" style="82" customWidth="1"/>
    <col min="1530" max="1530" width="2.625" style="82" customWidth="1"/>
    <col min="1531" max="1534" width="10.375" style="82" customWidth="1"/>
    <col min="1535" max="1537" width="0" style="82" hidden="1" customWidth="1"/>
    <col min="1538" max="1540" width="12.25" style="82" bestFit="1" customWidth="1"/>
    <col min="1541" max="1541" width="9" style="82"/>
    <col min="1542" max="1542" width="11" style="82" bestFit="1" customWidth="1"/>
    <col min="1543" max="1775" width="9" style="82"/>
    <col min="1776" max="1782" width="1" style="82" customWidth="1"/>
    <col min="1783" max="1783" width="0.5" style="82" customWidth="1"/>
    <col min="1784" max="1784" width="31.25" style="82" customWidth="1"/>
    <col min="1785" max="1785" width="33.5" style="82" customWidth="1"/>
    <col min="1786" max="1786" width="2.625" style="82" customWidth="1"/>
    <col min="1787" max="1790" width="10.375" style="82" customWidth="1"/>
    <col min="1791" max="1793" width="0" style="82" hidden="1" customWidth="1"/>
    <col min="1794" max="1796" width="12.25" style="82" bestFit="1" customWidth="1"/>
    <col min="1797" max="1797" width="9" style="82"/>
    <col min="1798" max="1798" width="11" style="82" bestFit="1" customWidth="1"/>
    <col min="1799" max="2031" width="9" style="82"/>
    <col min="2032" max="2038" width="1" style="82" customWidth="1"/>
    <col min="2039" max="2039" width="0.5" style="82" customWidth="1"/>
    <col min="2040" max="2040" width="31.25" style="82" customWidth="1"/>
    <col min="2041" max="2041" width="33.5" style="82" customWidth="1"/>
    <col min="2042" max="2042" width="2.625" style="82" customWidth="1"/>
    <col min="2043" max="2046" width="10.375" style="82" customWidth="1"/>
    <col min="2047" max="2049" width="0" style="82" hidden="1" customWidth="1"/>
    <col min="2050" max="2052" width="12.25" style="82" bestFit="1" customWidth="1"/>
    <col min="2053" max="2053" width="9" style="82"/>
    <col min="2054" max="2054" width="11" style="82" bestFit="1" customWidth="1"/>
    <col min="2055" max="2287" width="9" style="82"/>
    <col min="2288" max="2294" width="1" style="82" customWidth="1"/>
    <col min="2295" max="2295" width="0.5" style="82" customWidth="1"/>
    <col min="2296" max="2296" width="31.25" style="82" customWidth="1"/>
    <col min="2297" max="2297" width="33.5" style="82" customWidth="1"/>
    <col min="2298" max="2298" width="2.625" style="82" customWidth="1"/>
    <col min="2299" max="2302" width="10.375" style="82" customWidth="1"/>
    <col min="2303" max="2305" width="0" style="82" hidden="1" customWidth="1"/>
    <col min="2306" max="2308" width="12.25" style="82" bestFit="1" customWidth="1"/>
    <col min="2309" max="2309" width="9" style="82"/>
    <col min="2310" max="2310" width="11" style="82" bestFit="1" customWidth="1"/>
    <col min="2311" max="2543" width="9" style="82"/>
    <col min="2544" max="2550" width="1" style="82" customWidth="1"/>
    <col min="2551" max="2551" width="0.5" style="82" customWidth="1"/>
    <col min="2552" max="2552" width="31.25" style="82" customWidth="1"/>
    <col min="2553" max="2553" width="33.5" style="82" customWidth="1"/>
    <col min="2554" max="2554" width="2.625" style="82" customWidth="1"/>
    <col min="2555" max="2558" width="10.375" style="82" customWidth="1"/>
    <col min="2559" max="2561" width="0" style="82" hidden="1" customWidth="1"/>
    <col min="2562" max="2564" width="12.25" style="82" bestFit="1" customWidth="1"/>
    <col min="2565" max="2565" width="9" style="82"/>
    <col min="2566" max="2566" width="11" style="82" bestFit="1" customWidth="1"/>
    <col min="2567" max="2799" width="9" style="82"/>
    <col min="2800" max="2806" width="1" style="82" customWidth="1"/>
    <col min="2807" max="2807" width="0.5" style="82" customWidth="1"/>
    <col min="2808" max="2808" width="31.25" style="82" customWidth="1"/>
    <col min="2809" max="2809" width="33.5" style="82" customWidth="1"/>
    <col min="2810" max="2810" width="2.625" style="82" customWidth="1"/>
    <col min="2811" max="2814" width="10.375" style="82" customWidth="1"/>
    <col min="2815" max="2817" width="0" style="82" hidden="1" customWidth="1"/>
    <col min="2818" max="2820" width="12.25" style="82" bestFit="1" customWidth="1"/>
    <col min="2821" max="2821" width="9" style="82"/>
    <col min="2822" max="2822" width="11" style="82" bestFit="1" customWidth="1"/>
    <col min="2823" max="3055" width="9" style="82"/>
    <col min="3056" max="3062" width="1" style="82" customWidth="1"/>
    <col min="3063" max="3063" width="0.5" style="82" customWidth="1"/>
    <col min="3064" max="3064" width="31.25" style="82" customWidth="1"/>
    <col min="3065" max="3065" width="33.5" style="82" customWidth="1"/>
    <col min="3066" max="3066" width="2.625" style="82" customWidth="1"/>
    <col min="3067" max="3070" width="10.375" style="82" customWidth="1"/>
    <col min="3071" max="3073" width="0" style="82" hidden="1" customWidth="1"/>
    <col min="3074" max="3076" width="12.25" style="82" bestFit="1" customWidth="1"/>
    <col min="3077" max="3077" width="9" style="82"/>
    <col min="3078" max="3078" width="11" style="82" bestFit="1" customWidth="1"/>
    <col min="3079" max="3311" width="9" style="82"/>
    <col min="3312" max="3318" width="1" style="82" customWidth="1"/>
    <col min="3319" max="3319" width="0.5" style="82" customWidth="1"/>
    <col min="3320" max="3320" width="31.25" style="82" customWidth="1"/>
    <col min="3321" max="3321" width="33.5" style="82" customWidth="1"/>
    <col min="3322" max="3322" width="2.625" style="82" customWidth="1"/>
    <col min="3323" max="3326" width="10.375" style="82" customWidth="1"/>
    <col min="3327" max="3329" width="0" style="82" hidden="1" customWidth="1"/>
    <col min="3330" max="3332" width="12.25" style="82" bestFit="1" customWidth="1"/>
    <col min="3333" max="3333" width="9" style="82"/>
    <col min="3334" max="3334" width="11" style="82" bestFit="1" customWidth="1"/>
    <col min="3335" max="3567" width="9" style="82"/>
    <col min="3568" max="3574" width="1" style="82" customWidth="1"/>
    <col min="3575" max="3575" width="0.5" style="82" customWidth="1"/>
    <col min="3576" max="3576" width="31.25" style="82" customWidth="1"/>
    <col min="3577" max="3577" width="33.5" style="82" customWidth="1"/>
    <col min="3578" max="3578" width="2.625" style="82" customWidth="1"/>
    <col min="3579" max="3582" width="10.375" style="82" customWidth="1"/>
    <col min="3583" max="3585" width="0" style="82" hidden="1" customWidth="1"/>
    <col min="3586" max="3588" width="12.25" style="82" bestFit="1" customWidth="1"/>
    <col min="3589" max="3589" width="9" style="82"/>
    <col min="3590" max="3590" width="11" style="82" bestFit="1" customWidth="1"/>
    <col min="3591" max="3823" width="9" style="82"/>
    <col min="3824" max="3830" width="1" style="82" customWidth="1"/>
    <col min="3831" max="3831" width="0.5" style="82" customWidth="1"/>
    <col min="3832" max="3832" width="31.25" style="82" customWidth="1"/>
    <col min="3833" max="3833" width="33.5" style="82" customWidth="1"/>
    <col min="3834" max="3834" width="2.625" style="82" customWidth="1"/>
    <col min="3835" max="3838" width="10.375" style="82" customWidth="1"/>
    <col min="3839" max="3841" width="0" style="82" hidden="1" customWidth="1"/>
    <col min="3842" max="3844" width="12.25" style="82" bestFit="1" customWidth="1"/>
    <col min="3845" max="3845" width="9" style="82"/>
    <col min="3846" max="3846" width="11" style="82" bestFit="1" customWidth="1"/>
    <col min="3847" max="4079" width="9" style="82"/>
    <col min="4080" max="4086" width="1" style="82" customWidth="1"/>
    <col min="4087" max="4087" width="0.5" style="82" customWidth="1"/>
    <col min="4088" max="4088" width="31.25" style="82" customWidth="1"/>
    <col min="4089" max="4089" width="33.5" style="82" customWidth="1"/>
    <col min="4090" max="4090" width="2.625" style="82" customWidth="1"/>
    <col min="4091" max="4094" width="10.375" style="82" customWidth="1"/>
    <col min="4095" max="4097" width="0" style="82" hidden="1" customWidth="1"/>
    <col min="4098" max="4100" width="12.25" style="82" bestFit="1" customWidth="1"/>
    <col min="4101" max="4101" width="9" style="82"/>
    <col min="4102" max="4102" width="11" style="82" bestFit="1" customWidth="1"/>
    <col min="4103" max="4335" width="9" style="82"/>
    <col min="4336" max="4342" width="1" style="82" customWidth="1"/>
    <col min="4343" max="4343" width="0.5" style="82" customWidth="1"/>
    <col min="4344" max="4344" width="31.25" style="82" customWidth="1"/>
    <col min="4345" max="4345" width="33.5" style="82" customWidth="1"/>
    <col min="4346" max="4346" width="2.625" style="82" customWidth="1"/>
    <col min="4347" max="4350" width="10.375" style="82" customWidth="1"/>
    <col min="4351" max="4353" width="0" style="82" hidden="1" customWidth="1"/>
    <col min="4354" max="4356" width="12.25" style="82" bestFit="1" customWidth="1"/>
    <col min="4357" max="4357" width="9" style="82"/>
    <col min="4358" max="4358" width="11" style="82" bestFit="1" customWidth="1"/>
    <col min="4359" max="4591" width="9" style="82"/>
    <col min="4592" max="4598" width="1" style="82" customWidth="1"/>
    <col min="4599" max="4599" width="0.5" style="82" customWidth="1"/>
    <col min="4600" max="4600" width="31.25" style="82" customWidth="1"/>
    <col min="4601" max="4601" width="33.5" style="82" customWidth="1"/>
    <col min="4602" max="4602" width="2.625" style="82" customWidth="1"/>
    <col min="4603" max="4606" width="10.375" style="82" customWidth="1"/>
    <col min="4607" max="4609" width="0" style="82" hidden="1" customWidth="1"/>
    <col min="4610" max="4612" width="12.25" style="82" bestFit="1" customWidth="1"/>
    <col min="4613" max="4613" width="9" style="82"/>
    <col min="4614" max="4614" width="11" style="82" bestFit="1" customWidth="1"/>
    <col min="4615" max="4847" width="9" style="82"/>
    <col min="4848" max="4854" width="1" style="82" customWidth="1"/>
    <col min="4855" max="4855" width="0.5" style="82" customWidth="1"/>
    <col min="4856" max="4856" width="31.25" style="82" customWidth="1"/>
    <col min="4857" max="4857" width="33.5" style="82" customWidth="1"/>
    <col min="4858" max="4858" width="2.625" style="82" customWidth="1"/>
    <col min="4859" max="4862" width="10.375" style="82" customWidth="1"/>
    <col min="4863" max="4865" width="0" style="82" hidden="1" customWidth="1"/>
    <col min="4866" max="4868" width="12.25" style="82" bestFit="1" customWidth="1"/>
    <col min="4869" max="4869" width="9" style="82"/>
    <col min="4870" max="4870" width="11" style="82" bestFit="1" customWidth="1"/>
    <col min="4871" max="5103" width="9" style="82"/>
    <col min="5104" max="5110" width="1" style="82" customWidth="1"/>
    <col min="5111" max="5111" width="0.5" style="82" customWidth="1"/>
    <col min="5112" max="5112" width="31.25" style="82" customWidth="1"/>
    <col min="5113" max="5113" width="33.5" style="82" customWidth="1"/>
    <col min="5114" max="5114" width="2.625" style="82" customWidth="1"/>
    <col min="5115" max="5118" width="10.375" style="82" customWidth="1"/>
    <col min="5119" max="5121" width="0" style="82" hidden="1" customWidth="1"/>
    <col min="5122" max="5124" width="12.25" style="82" bestFit="1" customWidth="1"/>
    <col min="5125" max="5125" width="9" style="82"/>
    <col min="5126" max="5126" width="11" style="82" bestFit="1" customWidth="1"/>
    <col min="5127" max="5359" width="9" style="82"/>
    <col min="5360" max="5366" width="1" style="82" customWidth="1"/>
    <col min="5367" max="5367" width="0.5" style="82" customWidth="1"/>
    <col min="5368" max="5368" width="31.25" style="82" customWidth="1"/>
    <col min="5369" max="5369" width="33.5" style="82" customWidth="1"/>
    <col min="5370" max="5370" width="2.625" style="82" customWidth="1"/>
    <col min="5371" max="5374" width="10.375" style="82" customWidth="1"/>
    <col min="5375" max="5377" width="0" style="82" hidden="1" customWidth="1"/>
    <col min="5378" max="5380" width="12.25" style="82" bestFit="1" customWidth="1"/>
    <col min="5381" max="5381" width="9" style="82"/>
    <col min="5382" max="5382" width="11" style="82" bestFit="1" customWidth="1"/>
    <col min="5383" max="5615" width="9" style="82"/>
    <col min="5616" max="5622" width="1" style="82" customWidth="1"/>
    <col min="5623" max="5623" width="0.5" style="82" customWidth="1"/>
    <col min="5624" max="5624" width="31.25" style="82" customWidth="1"/>
    <col min="5625" max="5625" width="33.5" style="82" customWidth="1"/>
    <col min="5626" max="5626" width="2.625" style="82" customWidth="1"/>
    <col min="5627" max="5630" width="10.375" style="82" customWidth="1"/>
    <col min="5631" max="5633" width="0" style="82" hidden="1" customWidth="1"/>
    <col min="5634" max="5636" width="12.25" style="82" bestFit="1" customWidth="1"/>
    <col min="5637" max="5637" width="9" style="82"/>
    <col min="5638" max="5638" width="11" style="82" bestFit="1" customWidth="1"/>
    <col min="5639" max="5871" width="9" style="82"/>
    <col min="5872" max="5878" width="1" style="82" customWidth="1"/>
    <col min="5879" max="5879" width="0.5" style="82" customWidth="1"/>
    <col min="5880" max="5880" width="31.25" style="82" customWidth="1"/>
    <col min="5881" max="5881" width="33.5" style="82" customWidth="1"/>
    <col min="5882" max="5882" width="2.625" style="82" customWidth="1"/>
    <col min="5883" max="5886" width="10.375" style="82" customWidth="1"/>
    <col min="5887" max="5889" width="0" style="82" hidden="1" customWidth="1"/>
    <col min="5890" max="5892" width="12.25" style="82" bestFit="1" customWidth="1"/>
    <col min="5893" max="5893" width="9" style="82"/>
    <col min="5894" max="5894" width="11" style="82" bestFit="1" customWidth="1"/>
    <col min="5895" max="6127" width="9" style="82"/>
    <col min="6128" max="6134" width="1" style="82" customWidth="1"/>
    <col min="6135" max="6135" width="0.5" style="82" customWidth="1"/>
    <col min="6136" max="6136" width="31.25" style="82" customWidth="1"/>
    <col min="6137" max="6137" width="33.5" style="82" customWidth="1"/>
    <col min="6138" max="6138" width="2.625" style="82" customWidth="1"/>
    <col min="6139" max="6142" width="10.375" style="82" customWidth="1"/>
    <col min="6143" max="6145" width="0" style="82" hidden="1" customWidth="1"/>
    <col min="6146" max="6148" width="12.25" style="82" bestFit="1" customWidth="1"/>
    <col min="6149" max="6149" width="9" style="82"/>
    <col min="6150" max="6150" width="11" style="82" bestFit="1" customWidth="1"/>
    <col min="6151" max="6383" width="9" style="82"/>
    <col min="6384" max="6390" width="1" style="82" customWidth="1"/>
    <col min="6391" max="6391" width="0.5" style="82" customWidth="1"/>
    <col min="6392" max="6392" width="31.25" style="82" customWidth="1"/>
    <col min="6393" max="6393" width="33.5" style="82" customWidth="1"/>
    <col min="6394" max="6394" width="2.625" style="82" customWidth="1"/>
    <col min="6395" max="6398" width="10.375" style="82" customWidth="1"/>
    <col min="6399" max="6401" width="0" style="82" hidden="1" customWidth="1"/>
    <col min="6402" max="6404" width="12.25" style="82" bestFit="1" customWidth="1"/>
    <col min="6405" max="6405" width="9" style="82"/>
    <col min="6406" max="6406" width="11" style="82" bestFit="1" customWidth="1"/>
    <col min="6407" max="6639" width="9" style="82"/>
    <col min="6640" max="6646" width="1" style="82" customWidth="1"/>
    <col min="6647" max="6647" width="0.5" style="82" customWidth="1"/>
    <col min="6648" max="6648" width="31.25" style="82" customWidth="1"/>
    <col min="6649" max="6649" width="33.5" style="82" customWidth="1"/>
    <col min="6650" max="6650" width="2.625" style="82" customWidth="1"/>
    <col min="6651" max="6654" width="10.375" style="82" customWidth="1"/>
    <col min="6655" max="6657" width="0" style="82" hidden="1" customWidth="1"/>
    <col min="6658" max="6660" width="12.25" style="82" bestFit="1" customWidth="1"/>
    <col min="6661" max="6661" width="9" style="82"/>
    <col min="6662" max="6662" width="11" style="82" bestFit="1" customWidth="1"/>
    <col min="6663" max="6895" width="9" style="82"/>
    <col min="6896" max="6902" width="1" style="82" customWidth="1"/>
    <col min="6903" max="6903" width="0.5" style="82" customWidth="1"/>
    <col min="6904" max="6904" width="31.25" style="82" customWidth="1"/>
    <col min="6905" max="6905" width="33.5" style="82" customWidth="1"/>
    <col min="6906" max="6906" width="2.625" style="82" customWidth="1"/>
    <col min="6907" max="6910" width="10.375" style="82" customWidth="1"/>
    <col min="6911" max="6913" width="0" style="82" hidden="1" customWidth="1"/>
    <col min="6914" max="6916" width="12.25" style="82" bestFit="1" customWidth="1"/>
    <col min="6917" max="6917" width="9" style="82"/>
    <col min="6918" max="6918" width="11" style="82" bestFit="1" customWidth="1"/>
    <col min="6919" max="7151" width="9" style="82"/>
    <col min="7152" max="7158" width="1" style="82" customWidth="1"/>
    <col min="7159" max="7159" width="0.5" style="82" customWidth="1"/>
    <col min="7160" max="7160" width="31.25" style="82" customWidth="1"/>
    <col min="7161" max="7161" width="33.5" style="82" customWidth="1"/>
    <col min="7162" max="7162" width="2.625" style="82" customWidth="1"/>
    <col min="7163" max="7166" width="10.375" style="82" customWidth="1"/>
    <col min="7167" max="7169" width="0" style="82" hidden="1" customWidth="1"/>
    <col min="7170" max="7172" width="12.25" style="82" bestFit="1" customWidth="1"/>
    <col min="7173" max="7173" width="9" style="82"/>
    <col min="7174" max="7174" width="11" style="82" bestFit="1" customWidth="1"/>
    <col min="7175" max="7407" width="9" style="82"/>
    <col min="7408" max="7414" width="1" style="82" customWidth="1"/>
    <col min="7415" max="7415" width="0.5" style="82" customWidth="1"/>
    <col min="7416" max="7416" width="31.25" style="82" customWidth="1"/>
    <col min="7417" max="7417" width="33.5" style="82" customWidth="1"/>
    <col min="7418" max="7418" width="2.625" style="82" customWidth="1"/>
    <col min="7419" max="7422" width="10.375" style="82" customWidth="1"/>
    <col min="7423" max="7425" width="0" style="82" hidden="1" customWidth="1"/>
    <col min="7426" max="7428" width="12.25" style="82" bestFit="1" customWidth="1"/>
    <col min="7429" max="7429" width="9" style="82"/>
    <col min="7430" max="7430" width="11" style="82" bestFit="1" customWidth="1"/>
    <col min="7431" max="7663" width="9" style="82"/>
    <col min="7664" max="7670" width="1" style="82" customWidth="1"/>
    <col min="7671" max="7671" width="0.5" style="82" customWidth="1"/>
    <col min="7672" max="7672" width="31.25" style="82" customWidth="1"/>
    <col min="7673" max="7673" width="33.5" style="82" customWidth="1"/>
    <col min="7674" max="7674" width="2.625" style="82" customWidth="1"/>
    <col min="7675" max="7678" width="10.375" style="82" customWidth="1"/>
    <col min="7679" max="7681" width="0" style="82" hidden="1" customWidth="1"/>
    <col min="7682" max="7684" width="12.25" style="82" bestFit="1" customWidth="1"/>
    <col min="7685" max="7685" width="9" style="82"/>
    <col min="7686" max="7686" width="11" style="82" bestFit="1" customWidth="1"/>
    <col min="7687" max="7919" width="9" style="82"/>
    <col min="7920" max="7926" width="1" style="82" customWidth="1"/>
    <col min="7927" max="7927" width="0.5" style="82" customWidth="1"/>
    <col min="7928" max="7928" width="31.25" style="82" customWidth="1"/>
    <col min="7929" max="7929" width="33.5" style="82" customWidth="1"/>
    <col min="7930" max="7930" width="2.625" style="82" customWidth="1"/>
    <col min="7931" max="7934" width="10.375" style="82" customWidth="1"/>
    <col min="7935" max="7937" width="0" style="82" hidden="1" customWidth="1"/>
    <col min="7938" max="7940" width="12.25" style="82" bestFit="1" customWidth="1"/>
    <col min="7941" max="7941" width="9" style="82"/>
    <col min="7942" max="7942" width="11" style="82" bestFit="1" customWidth="1"/>
    <col min="7943" max="8175" width="9" style="82"/>
    <col min="8176" max="8182" width="1" style="82" customWidth="1"/>
    <col min="8183" max="8183" width="0.5" style="82" customWidth="1"/>
    <col min="8184" max="8184" width="31.25" style="82" customWidth="1"/>
    <col min="8185" max="8185" width="33.5" style="82" customWidth="1"/>
    <col min="8186" max="8186" width="2.625" style="82" customWidth="1"/>
    <col min="8187" max="8190" width="10.375" style="82" customWidth="1"/>
    <col min="8191" max="8193" width="0" style="82" hidden="1" customWidth="1"/>
    <col min="8194" max="8196" width="12.25" style="82" bestFit="1" customWidth="1"/>
    <col min="8197" max="8197" width="9" style="82"/>
    <col min="8198" max="8198" width="11" style="82" bestFit="1" customWidth="1"/>
    <col min="8199" max="8431" width="9" style="82"/>
    <col min="8432" max="8438" width="1" style="82" customWidth="1"/>
    <col min="8439" max="8439" width="0.5" style="82" customWidth="1"/>
    <col min="8440" max="8440" width="31.25" style="82" customWidth="1"/>
    <col min="8441" max="8441" width="33.5" style="82" customWidth="1"/>
    <col min="8442" max="8442" width="2.625" style="82" customWidth="1"/>
    <col min="8443" max="8446" width="10.375" style="82" customWidth="1"/>
    <col min="8447" max="8449" width="0" style="82" hidden="1" customWidth="1"/>
    <col min="8450" max="8452" width="12.25" style="82" bestFit="1" customWidth="1"/>
    <col min="8453" max="8453" width="9" style="82"/>
    <col min="8454" max="8454" width="11" style="82" bestFit="1" customWidth="1"/>
    <col min="8455" max="8687" width="9" style="82"/>
    <col min="8688" max="8694" width="1" style="82" customWidth="1"/>
    <col min="8695" max="8695" width="0.5" style="82" customWidth="1"/>
    <col min="8696" max="8696" width="31.25" style="82" customWidth="1"/>
    <col min="8697" max="8697" width="33.5" style="82" customWidth="1"/>
    <col min="8698" max="8698" width="2.625" style="82" customWidth="1"/>
    <col min="8699" max="8702" width="10.375" style="82" customWidth="1"/>
    <col min="8703" max="8705" width="0" style="82" hidden="1" customWidth="1"/>
    <col min="8706" max="8708" width="12.25" style="82" bestFit="1" customWidth="1"/>
    <col min="8709" max="8709" width="9" style="82"/>
    <col min="8710" max="8710" width="11" style="82" bestFit="1" customWidth="1"/>
    <col min="8711" max="8943" width="9" style="82"/>
    <col min="8944" max="8950" width="1" style="82" customWidth="1"/>
    <col min="8951" max="8951" width="0.5" style="82" customWidth="1"/>
    <col min="8952" max="8952" width="31.25" style="82" customWidth="1"/>
    <col min="8953" max="8953" width="33.5" style="82" customWidth="1"/>
    <col min="8954" max="8954" width="2.625" style="82" customWidth="1"/>
    <col min="8955" max="8958" width="10.375" style="82" customWidth="1"/>
    <col min="8959" max="8961" width="0" style="82" hidden="1" customWidth="1"/>
    <col min="8962" max="8964" width="12.25" style="82" bestFit="1" customWidth="1"/>
    <col min="8965" max="8965" width="9" style="82"/>
    <col min="8966" max="8966" width="11" style="82" bestFit="1" customWidth="1"/>
    <col min="8967" max="9199" width="9" style="82"/>
    <col min="9200" max="9206" width="1" style="82" customWidth="1"/>
    <col min="9207" max="9207" width="0.5" style="82" customWidth="1"/>
    <col min="9208" max="9208" width="31.25" style="82" customWidth="1"/>
    <col min="9209" max="9209" width="33.5" style="82" customWidth="1"/>
    <col min="9210" max="9210" width="2.625" style="82" customWidth="1"/>
    <col min="9211" max="9214" width="10.375" style="82" customWidth="1"/>
    <col min="9215" max="9217" width="0" style="82" hidden="1" customWidth="1"/>
    <col min="9218" max="9220" width="12.25" style="82" bestFit="1" customWidth="1"/>
    <col min="9221" max="9221" width="9" style="82"/>
    <col min="9222" max="9222" width="11" style="82" bestFit="1" customWidth="1"/>
    <col min="9223" max="9455" width="9" style="82"/>
    <col min="9456" max="9462" width="1" style="82" customWidth="1"/>
    <col min="9463" max="9463" width="0.5" style="82" customWidth="1"/>
    <col min="9464" max="9464" width="31.25" style="82" customWidth="1"/>
    <col min="9465" max="9465" width="33.5" style="82" customWidth="1"/>
    <col min="9466" max="9466" width="2.625" style="82" customWidth="1"/>
    <col min="9467" max="9470" width="10.375" style="82" customWidth="1"/>
    <col min="9471" max="9473" width="0" style="82" hidden="1" customWidth="1"/>
    <col min="9474" max="9476" width="12.25" style="82" bestFit="1" customWidth="1"/>
    <col min="9477" max="9477" width="9" style="82"/>
    <col min="9478" max="9478" width="11" style="82" bestFit="1" customWidth="1"/>
    <col min="9479" max="9711" width="9" style="82"/>
    <col min="9712" max="9718" width="1" style="82" customWidth="1"/>
    <col min="9719" max="9719" width="0.5" style="82" customWidth="1"/>
    <col min="9720" max="9720" width="31.25" style="82" customWidth="1"/>
    <col min="9721" max="9721" width="33.5" style="82" customWidth="1"/>
    <col min="9722" max="9722" width="2.625" style="82" customWidth="1"/>
    <col min="9723" max="9726" width="10.375" style="82" customWidth="1"/>
    <col min="9727" max="9729" width="0" style="82" hidden="1" customWidth="1"/>
    <col min="9730" max="9732" width="12.25" style="82" bestFit="1" customWidth="1"/>
    <col min="9733" max="9733" width="9" style="82"/>
    <col min="9734" max="9734" width="11" style="82" bestFit="1" customWidth="1"/>
    <col min="9735" max="9967" width="9" style="82"/>
    <col min="9968" max="9974" width="1" style="82" customWidth="1"/>
    <col min="9975" max="9975" width="0.5" style="82" customWidth="1"/>
    <col min="9976" max="9976" width="31.25" style="82" customWidth="1"/>
    <col min="9977" max="9977" width="33.5" style="82" customWidth="1"/>
    <col min="9978" max="9978" width="2.625" style="82" customWidth="1"/>
    <col min="9979" max="9982" width="10.375" style="82" customWidth="1"/>
    <col min="9983" max="9985" width="0" style="82" hidden="1" customWidth="1"/>
    <col min="9986" max="9988" width="12.25" style="82" bestFit="1" customWidth="1"/>
    <col min="9989" max="9989" width="9" style="82"/>
    <col min="9990" max="9990" width="11" style="82" bestFit="1" customWidth="1"/>
    <col min="9991" max="10223" width="9" style="82"/>
    <col min="10224" max="10230" width="1" style="82" customWidth="1"/>
    <col min="10231" max="10231" width="0.5" style="82" customWidth="1"/>
    <col min="10232" max="10232" width="31.25" style="82" customWidth="1"/>
    <col min="10233" max="10233" width="33.5" style="82" customWidth="1"/>
    <col min="10234" max="10234" width="2.625" style="82" customWidth="1"/>
    <col min="10235" max="10238" width="10.375" style="82" customWidth="1"/>
    <col min="10239" max="10241" width="0" style="82" hidden="1" customWidth="1"/>
    <col min="10242" max="10244" width="12.25" style="82" bestFit="1" customWidth="1"/>
    <col min="10245" max="10245" width="9" style="82"/>
    <col min="10246" max="10246" width="11" style="82" bestFit="1" customWidth="1"/>
    <col min="10247" max="10479" width="9" style="82"/>
    <col min="10480" max="10486" width="1" style="82" customWidth="1"/>
    <col min="10487" max="10487" width="0.5" style="82" customWidth="1"/>
    <col min="10488" max="10488" width="31.25" style="82" customWidth="1"/>
    <col min="10489" max="10489" width="33.5" style="82" customWidth="1"/>
    <col min="10490" max="10490" width="2.625" style="82" customWidth="1"/>
    <col min="10491" max="10494" width="10.375" style="82" customWidth="1"/>
    <col min="10495" max="10497" width="0" style="82" hidden="1" customWidth="1"/>
    <col min="10498" max="10500" width="12.25" style="82" bestFit="1" customWidth="1"/>
    <col min="10501" max="10501" width="9" style="82"/>
    <col min="10502" max="10502" width="11" style="82" bestFit="1" customWidth="1"/>
    <col min="10503" max="10735" width="9" style="82"/>
    <col min="10736" max="10742" width="1" style="82" customWidth="1"/>
    <col min="10743" max="10743" width="0.5" style="82" customWidth="1"/>
    <col min="10744" max="10744" width="31.25" style="82" customWidth="1"/>
    <col min="10745" max="10745" width="33.5" style="82" customWidth="1"/>
    <col min="10746" max="10746" width="2.625" style="82" customWidth="1"/>
    <col min="10747" max="10750" width="10.375" style="82" customWidth="1"/>
    <col min="10751" max="10753" width="0" style="82" hidden="1" customWidth="1"/>
    <col min="10754" max="10756" width="12.25" style="82" bestFit="1" customWidth="1"/>
    <col min="10757" max="10757" width="9" style="82"/>
    <col min="10758" max="10758" width="11" style="82" bestFit="1" customWidth="1"/>
    <col min="10759" max="10991" width="9" style="82"/>
    <col min="10992" max="10998" width="1" style="82" customWidth="1"/>
    <col min="10999" max="10999" width="0.5" style="82" customWidth="1"/>
    <col min="11000" max="11000" width="31.25" style="82" customWidth="1"/>
    <col min="11001" max="11001" width="33.5" style="82" customWidth="1"/>
    <col min="11002" max="11002" width="2.625" style="82" customWidth="1"/>
    <col min="11003" max="11006" width="10.375" style="82" customWidth="1"/>
    <col min="11007" max="11009" width="0" style="82" hidden="1" customWidth="1"/>
    <col min="11010" max="11012" width="12.25" style="82" bestFit="1" customWidth="1"/>
    <col min="11013" max="11013" width="9" style="82"/>
    <col min="11014" max="11014" width="11" style="82" bestFit="1" customWidth="1"/>
    <col min="11015" max="11247" width="9" style="82"/>
    <col min="11248" max="11254" width="1" style="82" customWidth="1"/>
    <col min="11255" max="11255" width="0.5" style="82" customWidth="1"/>
    <col min="11256" max="11256" width="31.25" style="82" customWidth="1"/>
    <col min="11257" max="11257" width="33.5" style="82" customWidth="1"/>
    <col min="11258" max="11258" width="2.625" style="82" customWidth="1"/>
    <col min="11259" max="11262" width="10.375" style="82" customWidth="1"/>
    <col min="11263" max="11265" width="0" style="82" hidden="1" customWidth="1"/>
    <col min="11266" max="11268" width="12.25" style="82" bestFit="1" customWidth="1"/>
    <col min="11269" max="11269" width="9" style="82"/>
    <col min="11270" max="11270" width="11" style="82" bestFit="1" customWidth="1"/>
    <col min="11271" max="11503" width="9" style="82"/>
    <col min="11504" max="11510" width="1" style="82" customWidth="1"/>
    <col min="11511" max="11511" width="0.5" style="82" customWidth="1"/>
    <col min="11512" max="11512" width="31.25" style="82" customWidth="1"/>
    <col min="11513" max="11513" width="33.5" style="82" customWidth="1"/>
    <col min="11514" max="11514" width="2.625" style="82" customWidth="1"/>
    <col min="11515" max="11518" width="10.375" style="82" customWidth="1"/>
    <col min="11519" max="11521" width="0" style="82" hidden="1" customWidth="1"/>
    <col min="11522" max="11524" width="12.25" style="82" bestFit="1" customWidth="1"/>
    <col min="11525" max="11525" width="9" style="82"/>
    <col min="11526" max="11526" width="11" style="82" bestFit="1" customWidth="1"/>
    <col min="11527" max="11759" width="9" style="82"/>
    <col min="11760" max="11766" width="1" style="82" customWidth="1"/>
    <col min="11767" max="11767" width="0.5" style="82" customWidth="1"/>
    <col min="11768" max="11768" width="31.25" style="82" customWidth="1"/>
    <col min="11769" max="11769" width="33.5" style="82" customWidth="1"/>
    <col min="11770" max="11770" width="2.625" style="82" customWidth="1"/>
    <col min="11771" max="11774" width="10.375" style="82" customWidth="1"/>
    <col min="11775" max="11777" width="0" style="82" hidden="1" customWidth="1"/>
    <col min="11778" max="11780" width="12.25" style="82" bestFit="1" customWidth="1"/>
    <col min="11781" max="11781" width="9" style="82"/>
    <col min="11782" max="11782" width="11" style="82" bestFit="1" customWidth="1"/>
    <col min="11783" max="12015" width="9" style="82"/>
    <col min="12016" max="12022" width="1" style="82" customWidth="1"/>
    <col min="12023" max="12023" width="0.5" style="82" customWidth="1"/>
    <col min="12024" max="12024" width="31.25" style="82" customWidth="1"/>
    <col min="12025" max="12025" width="33.5" style="82" customWidth="1"/>
    <col min="12026" max="12026" width="2.625" style="82" customWidth="1"/>
    <col min="12027" max="12030" width="10.375" style="82" customWidth="1"/>
    <col min="12031" max="12033" width="0" style="82" hidden="1" customWidth="1"/>
    <col min="12034" max="12036" width="12.25" style="82" bestFit="1" customWidth="1"/>
    <col min="12037" max="12037" width="9" style="82"/>
    <col min="12038" max="12038" width="11" style="82" bestFit="1" customWidth="1"/>
    <col min="12039" max="12271" width="9" style="82"/>
    <col min="12272" max="12278" width="1" style="82" customWidth="1"/>
    <col min="12279" max="12279" width="0.5" style="82" customWidth="1"/>
    <col min="12280" max="12280" width="31.25" style="82" customWidth="1"/>
    <col min="12281" max="12281" width="33.5" style="82" customWidth="1"/>
    <col min="12282" max="12282" width="2.625" style="82" customWidth="1"/>
    <col min="12283" max="12286" width="10.375" style="82" customWidth="1"/>
    <col min="12287" max="12289" width="0" style="82" hidden="1" customWidth="1"/>
    <col min="12290" max="12292" width="12.25" style="82" bestFit="1" customWidth="1"/>
    <col min="12293" max="12293" width="9" style="82"/>
    <col min="12294" max="12294" width="11" style="82" bestFit="1" customWidth="1"/>
    <col min="12295" max="12527" width="9" style="82"/>
    <col min="12528" max="12534" width="1" style="82" customWidth="1"/>
    <col min="12535" max="12535" width="0.5" style="82" customWidth="1"/>
    <col min="12536" max="12536" width="31.25" style="82" customWidth="1"/>
    <col min="12537" max="12537" width="33.5" style="82" customWidth="1"/>
    <col min="12538" max="12538" width="2.625" style="82" customWidth="1"/>
    <col min="12539" max="12542" width="10.375" style="82" customWidth="1"/>
    <col min="12543" max="12545" width="0" style="82" hidden="1" customWidth="1"/>
    <col min="12546" max="12548" width="12.25" style="82" bestFit="1" customWidth="1"/>
    <col min="12549" max="12549" width="9" style="82"/>
    <col min="12550" max="12550" width="11" style="82" bestFit="1" customWidth="1"/>
    <col min="12551" max="12783" width="9" style="82"/>
    <col min="12784" max="12790" width="1" style="82" customWidth="1"/>
    <col min="12791" max="12791" width="0.5" style="82" customWidth="1"/>
    <col min="12792" max="12792" width="31.25" style="82" customWidth="1"/>
    <col min="12793" max="12793" width="33.5" style="82" customWidth="1"/>
    <col min="12794" max="12794" width="2.625" style="82" customWidth="1"/>
    <col min="12795" max="12798" width="10.375" style="82" customWidth="1"/>
    <col min="12799" max="12801" width="0" style="82" hidden="1" customWidth="1"/>
    <col min="12802" max="12804" width="12.25" style="82" bestFit="1" customWidth="1"/>
    <col min="12805" max="12805" width="9" style="82"/>
    <col min="12806" max="12806" width="11" style="82" bestFit="1" customWidth="1"/>
    <col min="12807" max="13039" width="9" style="82"/>
    <col min="13040" max="13046" width="1" style="82" customWidth="1"/>
    <col min="13047" max="13047" width="0.5" style="82" customWidth="1"/>
    <col min="13048" max="13048" width="31.25" style="82" customWidth="1"/>
    <col min="13049" max="13049" width="33.5" style="82" customWidth="1"/>
    <col min="13050" max="13050" width="2.625" style="82" customWidth="1"/>
    <col min="13051" max="13054" width="10.375" style="82" customWidth="1"/>
    <col min="13055" max="13057" width="0" style="82" hidden="1" customWidth="1"/>
    <col min="13058" max="13060" width="12.25" style="82" bestFit="1" customWidth="1"/>
    <col min="13061" max="13061" width="9" style="82"/>
    <col min="13062" max="13062" width="11" style="82" bestFit="1" customWidth="1"/>
    <col min="13063" max="13295" width="9" style="82"/>
    <col min="13296" max="13302" width="1" style="82" customWidth="1"/>
    <col min="13303" max="13303" width="0.5" style="82" customWidth="1"/>
    <col min="13304" max="13304" width="31.25" style="82" customWidth="1"/>
    <col min="13305" max="13305" width="33.5" style="82" customWidth="1"/>
    <col min="13306" max="13306" width="2.625" style="82" customWidth="1"/>
    <col min="13307" max="13310" width="10.375" style="82" customWidth="1"/>
    <col min="13311" max="13313" width="0" style="82" hidden="1" customWidth="1"/>
    <col min="13314" max="13316" width="12.25" style="82" bestFit="1" customWidth="1"/>
    <col min="13317" max="13317" width="9" style="82"/>
    <col min="13318" max="13318" width="11" style="82" bestFit="1" customWidth="1"/>
    <col min="13319" max="13551" width="9" style="82"/>
    <col min="13552" max="13558" width="1" style="82" customWidth="1"/>
    <col min="13559" max="13559" width="0.5" style="82" customWidth="1"/>
    <col min="13560" max="13560" width="31.25" style="82" customWidth="1"/>
    <col min="13561" max="13561" width="33.5" style="82" customWidth="1"/>
    <col min="13562" max="13562" width="2.625" style="82" customWidth="1"/>
    <col min="13563" max="13566" width="10.375" style="82" customWidth="1"/>
    <col min="13567" max="13569" width="0" style="82" hidden="1" customWidth="1"/>
    <col min="13570" max="13572" width="12.25" style="82" bestFit="1" customWidth="1"/>
    <col min="13573" max="13573" width="9" style="82"/>
    <col min="13574" max="13574" width="11" style="82" bestFit="1" customWidth="1"/>
    <col min="13575" max="13807" width="9" style="82"/>
    <col min="13808" max="13814" width="1" style="82" customWidth="1"/>
    <col min="13815" max="13815" width="0.5" style="82" customWidth="1"/>
    <col min="13816" max="13816" width="31.25" style="82" customWidth="1"/>
    <col min="13817" max="13817" width="33.5" style="82" customWidth="1"/>
    <col min="13818" max="13818" width="2.625" style="82" customWidth="1"/>
    <col min="13819" max="13822" width="10.375" style="82" customWidth="1"/>
    <col min="13823" max="13825" width="0" style="82" hidden="1" customWidth="1"/>
    <col min="13826" max="13828" width="12.25" style="82" bestFit="1" customWidth="1"/>
    <col min="13829" max="13829" width="9" style="82"/>
    <col min="13830" max="13830" width="11" style="82" bestFit="1" customWidth="1"/>
    <col min="13831" max="14063" width="9" style="82"/>
    <col min="14064" max="14070" width="1" style="82" customWidth="1"/>
    <col min="14071" max="14071" width="0.5" style="82" customWidth="1"/>
    <col min="14072" max="14072" width="31.25" style="82" customWidth="1"/>
    <col min="14073" max="14073" width="33.5" style="82" customWidth="1"/>
    <col min="14074" max="14074" width="2.625" style="82" customWidth="1"/>
    <col min="14075" max="14078" width="10.375" style="82" customWidth="1"/>
    <col min="14079" max="14081" width="0" style="82" hidden="1" customWidth="1"/>
    <col min="14082" max="14084" width="12.25" style="82" bestFit="1" customWidth="1"/>
    <col min="14085" max="14085" width="9" style="82"/>
    <col min="14086" max="14086" width="11" style="82" bestFit="1" customWidth="1"/>
    <col min="14087" max="14319" width="9" style="82"/>
    <col min="14320" max="14326" width="1" style="82" customWidth="1"/>
    <col min="14327" max="14327" width="0.5" style="82" customWidth="1"/>
    <col min="14328" max="14328" width="31.25" style="82" customWidth="1"/>
    <col min="14329" max="14329" width="33.5" style="82" customWidth="1"/>
    <col min="14330" max="14330" width="2.625" style="82" customWidth="1"/>
    <col min="14331" max="14334" width="10.375" style="82" customWidth="1"/>
    <col min="14335" max="14337" width="0" style="82" hidden="1" customWidth="1"/>
    <col min="14338" max="14340" width="12.25" style="82" bestFit="1" customWidth="1"/>
    <col min="14341" max="14341" width="9" style="82"/>
    <col min="14342" max="14342" width="11" style="82" bestFit="1" customWidth="1"/>
    <col min="14343" max="14575" width="9" style="82"/>
    <col min="14576" max="14582" width="1" style="82" customWidth="1"/>
    <col min="14583" max="14583" width="0.5" style="82" customWidth="1"/>
    <col min="14584" max="14584" width="31.25" style="82" customWidth="1"/>
    <col min="14585" max="14585" width="33.5" style="82" customWidth="1"/>
    <col min="14586" max="14586" width="2.625" style="82" customWidth="1"/>
    <col min="14587" max="14590" width="10.375" style="82" customWidth="1"/>
    <col min="14591" max="14593" width="0" style="82" hidden="1" customWidth="1"/>
    <col min="14594" max="14596" width="12.25" style="82" bestFit="1" customWidth="1"/>
    <col min="14597" max="14597" width="9" style="82"/>
    <col min="14598" max="14598" width="11" style="82" bestFit="1" customWidth="1"/>
    <col min="14599" max="14831" width="9" style="82"/>
    <col min="14832" max="14838" width="1" style="82" customWidth="1"/>
    <col min="14839" max="14839" width="0.5" style="82" customWidth="1"/>
    <col min="14840" max="14840" width="31.25" style="82" customWidth="1"/>
    <col min="14841" max="14841" width="33.5" style="82" customWidth="1"/>
    <col min="14842" max="14842" width="2.625" style="82" customWidth="1"/>
    <col min="14843" max="14846" width="10.375" style="82" customWidth="1"/>
    <col min="14847" max="14849" width="0" style="82" hidden="1" customWidth="1"/>
    <col min="14850" max="14852" width="12.25" style="82" bestFit="1" customWidth="1"/>
    <col min="14853" max="14853" width="9" style="82"/>
    <col min="14854" max="14854" width="11" style="82" bestFit="1" customWidth="1"/>
    <col min="14855" max="15087" width="9" style="82"/>
    <col min="15088" max="15094" width="1" style="82" customWidth="1"/>
    <col min="15095" max="15095" width="0.5" style="82" customWidth="1"/>
    <col min="15096" max="15096" width="31.25" style="82" customWidth="1"/>
    <col min="15097" max="15097" width="33.5" style="82" customWidth="1"/>
    <col min="15098" max="15098" width="2.625" style="82" customWidth="1"/>
    <col min="15099" max="15102" width="10.375" style="82" customWidth="1"/>
    <col min="15103" max="15105" width="0" style="82" hidden="1" customWidth="1"/>
    <col min="15106" max="15108" width="12.25" style="82" bestFit="1" customWidth="1"/>
    <col min="15109" max="15109" width="9" style="82"/>
    <col min="15110" max="15110" width="11" style="82" bestFit="1" customWidth="1"/>
    <col min="15111" max="15343" width="9" style="82"/>
    <col min="15344" max="15350" width="1" style="82" customWidth="1"/>
    <col min="15351" max="15351" width="0.5" style="82" customWidth="1"/>
    <col min="15352" max="15352" width="31.25" style="82" customWidth="1"/>
    <col min="15353" max="15353" width="33.5" style="82" customWidth="1"/>
    <col min="15354" max="15354" width="2.625" style="82" customWidth="1"/>
    <col min="15355" max="15358" width="10.375" style="82" customWidth="1"/>
    <col min="15359" max="15361" width="0" style="82" hidden="1" customWidth="1"/>
    <col min="15362" max="15364" width="12.25" style="82" bestFit="1" customWidth="1"/>
    <col min="15365" max="15365" width="9" style="82"/>
    <col min="15366" max="15366" width="11" style="82" bestFit="1" customWidth="1"/>
    <col min="15367" max="15599" width="9" style="82"/>
    <col min="15600" max="15606" width="1" style="82" customWidth="1"/>
    <col min="15607" max="15607" width="0.5" style="82" customWidth="1"/>
    <col min="15608" max="15608" width="31.25" style="82" customWidth="1"/>
    <col min="15609" max="15609" width="33.5" style="82" customWidth="1"/>
    <col min="15610" max="15610" width="2.625" style="82" customWidth="1"/>
    <col min="15611" max="15614" width="10.375" style="82" customWidth="1"/>
    <col min="15615" max="15617" width="0" style="82" hidden="1" customWidth="1"/>
    <col min="15618" max="15620" width="12.25" style="82" bestFit="1" customWidth="1"/>
    <col min="15621" max="15621" width="9" style="82"/>
    <col min="15622" max="15622" width="11" style="82" bestFit="1" customWidth="1"/>
    <col min="15623" max="15855" width="9" style="82"/>
    <col min="15856" max="15862" width="1" style="82" customWidth="1"/>
    <col min="15863" max="15863" width="0.5" style="82" customWidth="1"/>
    <col min="15864" max="15864" width="31.25" style="82" customWidth="1"/>
    <col min="15865" max="15865" width="33.5" style="82" customWidth="1"/>
    <col min="15866" max="15866" width="2.625" style="82" customWidth="1"/>
    <col min="15867" max="15870" width="10.375" style="82" customWidth="1"/>
    <col min="15871" max="15873" width="0" style="82" hidden="1" customWidth="1"/>
    <col min="15874" max="15876" width="12.25" style="82" bestFit="1" customWidth="1"/>
    <col min="15877" max="15877" width="9" style="82"/>
    <col min="15878" max="15878" width="11" style="82" bestFit="1" customWidth="1"/>
    <col min="15879" max="16111" width="9" style="82"/>
    <col min="16112" max="16118" width="1" style="82" customWidth="1"/>
    <col min="16119" max="16119" width="0.5" style="82" customWidth="1"/>
    <col min="16120" max="16120" width="31.25" style="82" customWidth="1"/>
    <col min="16121" max="16121" width="33.5" style="82" customWidth="1"/>
    <col min="16122" max="16122" width="2.625" style="82" customWidth="1"/>
    <col min="16123" max="16126" width="10.375" style="82" customWidth="1"/>
    <col min="16127" max="16129" width="0" style="82" hidden="1" customWidth="1"/>
    <col min="16130" max="16132" width="12.25" style="82" bestFit="1" customWidth="1"/>
    <col min="16133" max="16133" width="9" style="82"/>
    <col min="16134" max="16134" width="11" style="82" bestFit="1" customWidth="1"/>
    <col min="16135" max="16384" width="9" style="82"/>
  </cols>
  <sheetData>
    <row r="1" spans="1:20" ht="20.100000000000001" customHeight="1">
      <c r="A1" s="403" t="s">
        <v>1150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152"/>
      <c r="Q1" s="158"/>
    </row>
    <row r="2" spans="1:20" ht="5.0999999999999996" customHeight="1">
      <c r="A2" s="258"/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7"/>
      <c r="O2" s="257"/>
      <c r="P2" s="259"/>
      <c r="Q2" s="257"/>
    </row>
    <row r="3" spans="1:20" s="265" customFormat="1" ht="20.100000000000001" customHeight="1">
      <c r="A3" s="404" t="s">
        <v>846</v>
      </c>
      <c r="B3" s="404"/>
      <c r="C3" s="404"/>
      <c r="D3" s="404"/>
      <c r="E3" s="404"/>
      <c r="F3" s="404"/>
      <c r="G3" s="404"/>
      <c r="H3" s="404"/>
      <c r="I3" s="404"/>
      <c r="J3" s="404"/>
      <c r="K3" s="404"/>
      <c r="L3" s="404"/>
      <c r="M3" s="404"/>
      <c r="N3" s="397" t="s">
        <v>1991</v>
      </c>
      <c r="O3" s="397"/>
      <c r="P3" s="263"/>
      <c r="Q3" s="264"/>
    </row>
    <row r="4" spans="1:20" ht="20.100000000000001" customHeight="1">
      <c r="A4" s="399" t="s">
        <v>843</v>
      </c>
      <c r="B4" s="400"/>
      <c r="C4" s="400"/>
      <c r="D4" s="400"/>
      <c r="E4" s="400"/>
      <c r="F4" s="400"/>
      <c r="G4" s="400"/>
      <c r="H4" s="400"/>
      <c r="I4" s="400"/>
      <c r="J4" s="400"/>
      <c r="K4" s="400"/>
      <c r="L4" s="401"/>
      <c r="M4" s="398" t="s">
        <v>2</v>
      </c>
      <c r="N4" s="398" t="s">
        <v>3</v>
      </c>
      <c r="O4" s="398" t="s">
        <v>1195</v>
      </c>
      <c r="P4" s="182"/>
      <c r="Q4" s="392" t="s">
        <v>1194</v>
      </c>
    </row>
    <row r="5" spans="1:20" ht="20.100000000000001" customHeight="1">
      <c r="A5" s="394" t="s">
        <v>844</v>
      </c>
      <c r="B5" s="395"/>
      <c r="C5" s="395"/>
      <c r="D5" s="395"/>
      <c r="E5" s="395"/>
      <c r="F5" s="395"/>
      <c r="G5" s="395"/>
      <c r="H5" s="395"/>
      <c r="I5" s="395"/>
      <c r="J5" s="395"/>
      <c r="K5" s="395"/>
      <c r="L5" s="396"/>
      <c r="M5" s="396"/>
      <c r="N5" s="396"/>
      <c r="O5" s="396"/>
      <c r="P5" s="182"/>
      <c r="Q5" s="393"/>
    </row>
    <row r="6" spans="1:20" ht="20.100000000000001" customHeight="1">
      <c r="A6" s="399" t="s">
        <v>824</v>
      </c>
      <c r="B6" s="400"/>
      <c r="C6" s="400"/>
      <c r="D6" s="400"/>
      <c r="E6" s="400"/>
      <c r="F6" s="400"/>
      <c r="G6" s="400"/>
      <c r="H6" s="400"/>
      <c r="I6" s="400"/>
      <c r="J6" s="400"/>
      <c r="K6" s="400"/>
      <c r="L6" s="401"/>
      <c r="M6" s="83">
        <f>+M7</f>
        <v>260501</v>
      </c>
      <c r="N6" s="83">
        <f t="shared" ref="N6:O6" si="0">+N7</f>
        <v>223950</v>
      </c>
      <c r="O6" s="83">
        <f t="shared" si="0"/>
        <v>36551</v>
      </c>
      <c r="P6" s="183"/>
      <c r="Q6" s="156"/>
    </row>
    <row r="7" spans="1:20" ht="24.95" customHeight="1">
      <c r="A7" s="402" t="s">
        <v>845</v>
      </c>
      <c r="B7" s="378"/>
      <c r="C7" s="378"/>
      <c r="D7" s="378"/>
      <c r="E7" s="378" t="s">
        <v>847</v>
      </c>
      <c r="F7" s="378"/>
      <c r="G7" s="378"/>
      <c r="H7" s="378"/>
      <c r="I7" s="378"/>
      <c r="J7" s="378"/>
      <c r="K7" s="378"/>
      <c r="L7" s="379"/>
      <c r="M7" s="85">
        <f>+M8+M22</f>
        <v>260501</v>
      </c>
      <c r="N7" s="85">
        <f>+N8+N22</f>
        <v>223950</v>
      </c>
      <c r="O7" s="85">
        <f>+O8+O22</f>
        <v>36551</v>
      </c>
      <c r="P7" s="176"/>
      <c r="Q7" s="157"/>
      <c r="R7" s="84"/>
      <c r="S7" s="84"/>
      <c r="T7" s="84"/>
    </row>
    <row r="8" spans="1:20" ht="24.95" customHeight="1">
      <c r="A8" s="86"/>
      <c r="B8" s="378" t="s">
        <v>848</v>
      </c>
      <c r="C8" s="378"/>
      <c r="D8" s="378"/>
      <c r="E8" s="378"/>
      <c r="F8" s="378" t="s">
        <v>849</v>
      </c>
      <c r="G8" s="378"/>
      <c r="H8" s="378"/>
      <c r="I8" s="378"/>
      <c r="J8" s="378"/>
      <c r="K8" s="378"/>
      <c r="L8" s="379"/>
      <c r="M8" s="85">
        <f>+M9+M17</f>
        <v>245000</v>
      </c>
      <c r="N8" s="85">
        <f>+N9+N17</f>
        <v>205000</v>
      </c>
      <c r="O8" s="85">
        <f>+O9+O17</f>
        <v>40000</v>
      </c>
      <c r="P8" s="177"/>
      <c r="Q8" s="157"/>
    </row>
    <row r="9" spans="1:20" ht="24.95" customHeight="1">
      <c r="A9" s="86"/>
      <c r="B9" s="87"/>
      <c r="C9" s="378" t="s">
        <v>850</v>
      </c>
      <c r="D9" s="378"/>
      <c r="E9" s="378"/>
      <c r="F9" s="378"/>
      <c r="G9" s="378" t="s">
        <v>851</v>
      </c>
      <c r="H9" s="378"/>
      <c r="I9" s="378"/>
      <c r="J9" s="378"/>
      <c r="K9" s="378"/>
      <c r="L9" s="379"/>
      <c r="M9" s="85">
        <f>+SUM(M10:M16)</f>
        <v>5000</v>
      </c>
      <c r="N9" s="85">
        <f>+SUM(N10:N16)</f>
        <v>5000</v>
      </c>
      <c r="O9" s="85">
        <f>+SUM(O10:O16)</f>
        <v>0</v>
      </c>
      <c r="P9" s="177"/>
      <c r="Q9" s="157"/>
    </row>
    <row r="10" spans="1:20" s="93" customFormat="1" ht="24.95" customHeight="1">
      <c r="A10" s="88"/>
      <c r="B10" s="89"/>
      <c r="C10" s="89"/>
      <c r="D10" s="206"/>
      <c r="E10" s="383" t="s">
        <v>1209</v>
      </c>
      <c r="F10" s="383"/>
      <c r="G10" s="383"/>
      <c r="H10" s="383"/>
      <c r="I10" s="383" t="s">
        <v>852</v>
      </c>
      <c r="J10" s="383"/>
      <c r="K10" s="383"/>
      <c r="L10" s="384"/>
      <c r="M10" s="323"/>
      <c r="N10" s="323"/>
      <c r="O10" s="323"/>
      <c r="P10" s="178"/>
      <c r="Q10" s="229"/>
    </row>
    <row r="11" spans="1:20" s="93" customFormat="1" ht="24.95" customHeight="1">
      <c r="A11" s="88"/>
      <c r="B11" s="89"/>
      <c r="C11" s="89"/>
      <c r="D11" s="201"/>
      <c r="E11" s="385" t="s">
        <v>853</v>
      </c>
      <c r="F11" s="386"/>
      <c r="G11" s="386"/>
      <c r="H11" s="386"/>
      <c r="I11" s="386"/>
      <c r="J11" s="386"/>
      <c r="K11" s="95"/>
      <c r="L11" s="262">
        <f>+L13+L15</f>
        <v>5000</v>
      </c>
      <c r="M11" s="262"/>
      <c r="N11" s="262"/>
      <c r="O11" s="262"/>
      <c r="P11" s="176"/>
      <c r="Q11" s="230"/>
    </row>
    <row r="12" spans="1:20" s="93" customFormat="1" ht="24.95" customHeight="1">
      <c r="A12" s="88"/>
      <c r="B12" s="89"/>
      <c r="C12" s="89"/>
      <c r="D12" s="201"/>
      <c r="E12" s="390" t="s">
        <v>854</v>
      </c>
      <c r="F12" s="391"/>
      <c r="G12" s="391"/>
      <c r="H12" s="391"/>
      <c r="I12" s="391"/>
      <c r="J12" s="391"/>
      <c r="K12" s="95"/>
      <c r="L12" s="96"/>
      <c r="M12" s="262"/>
      <c r="N12" s="262"/>
      <c r="O12" s="262"/>
      <c r="P12" s="176"/>
      <c r="Q12" s="230"/>
    </row>
    <row r="13" spans="1:20" s="93" customFormat="1" ht="24.95" customHeight="1">
      <c r="A13" s="88"/>
      <c r="B13" s="89"/>
      <c r="C13" s="89"/>
      <c r="D13" s="201"/>
      <c r="E13" s="380"/>
      <c r="F13" s="381"/>
      <c r="G13" s="381"/>
      <c r="H13" s="381"/>
      <c r="I13" s="381"/>
      <c r="J13" s="382" t="s">
        <v>855</v>
      </c>
      <c r="K13" s="382"/>
      <c r="L13" s="96">
        <f>ROUNDDOWN(20000*170/1000,0)</f>
        <v>3400</v>
      </c>
      <c r="M13" s="262">
        <f>+L13</f>
        <v>3400</v>
      </c>
      <c r="N13" s="262">
        <v>3400</v>
      </c>
      <c r="O13" s="262">
        <f>+M13-N13</f>
        <v>0</v>
      </c>
      <c r="P13" s="176"/>
      <c r="Q13" s="230"/>
    </row>
    <row r="14" spans="1:20" s="93" customFormat="1" ht="24.95" customHeight="1">
      <c r="A14" s="88"/>
      <c r="B14" s="89"/>
      <c r="C14" s="89"/>
      <c r="D14" s="201"/>
      <c r="E14" s="390" t="s">
        <v>856</v>
      </c>
      <c r="F14" s="391"/>
      <c r="G14" s="391"/>
      <c r="H14" s="391"/>
      <c r="I14" s="391"/>
      <c r="J14" s="391"/>
      <c r="K14" s="95"/>
      <c r="L14" s="96"/>
      <c r="M14" s="262"/>
      <c r="N14" s="262"/>
      <c r="O14" s="262"/>
      <c r="P14" s="176"/>
      <c r="Q14" s="230"/>
    </row>
    <row r="15" spans="1:20" s="93" customFormat="1" ht="24.95" customHeight="1">
      <c r="A15" s="88"/>
      <c r="B15" s="89"/>
      <c r="C15" s="89"/>
      <c r="D15" s="201"/>
      <c r="E15" s="380"/>
      <c r="F15" s="381"/>
      <c r="G15" s="381"/>
      <c r="H15" s="381"/>
      <c r="I15" s="381"/>
      <c r="J15" s="382" t="s">
        <v>857</v>
      </c>
      <c r="K15" s="382"/>
      <c r="L15" s="96">
        <f>ROUNDDOWN(20000*80/1000,0)</f>
        <v>1600</v>
      </c>
      <c r="M15" s="262">
        <f>+L15</f>
        <v>1600</v>
      </c>
      <c r="N15" s="262">
        <v>1600</v>
      </c>
      <c r="O15" s="262">
        <f>+M15-N15</f>
        <v>0</v>
      </c>
      <c r="P15" s="177"/>
      <c r="Q15" s="230"/>
    </row>
    <row r="16" spans="1:20" s="93" customFormat="1" ht="24.95" customHeight="1">
      <c r="A16" s="88"/>
      <c r="B16" s="89"/>
      <c r="C16" s="89"/>
      <c r="D16" s="201"/>
      <c r="E16" s="380"/>
      <c r="F16" s="381"/>
      <c r="G16" s="381"/>
      <c r="H16" s="381"/>
      <c r="I16" s="381"/>
      <c r="J16" s="382"/>
      <c r="K16" s="382"/>
      <c r="L16" s="96"/>
      <c r="M16" s="96"/>
      <c r="N16" s="96"/>
      <c r="O16" s="96"/>
      <c r="P16" s="178"/>
      <c r="Q16" s="230"/>
    </row>
    <row r="17" spans="1:17" ht="24.95" customHeight="1">
      <c r="A17" s="86"/>
      <c r="B17" s="87"/>
      <c r="C17" s="378" t="s">
        <v>1200</v>
      </c>
      <c r="D17" s="378"/>
      <c r="E17" s="378"/>
      <c r="F17" s="378"/>
      <c r="G17" s="378" t="s">
        <v>1201</v>
      </c>
      <c r="H17" s="378"/>
      <c r="I17" s="378"/>
      <c r="J17" s="378"/>
      <c r="K17" s="378"/>
      <c r="L17" s="379"/>
      <c r="M17" s="85">
        <f>+SUM(M18:M21)</f>
        <v>240000</v>
      </c>
      <c r="N17" s="85">
        <f>+SUM(N18:N21)</f>
        <v>200000</v>
      </c>
      <c r="O17" s="85">
        <f>+SUM(O18:O21)</f>
        <v>40000</v>
      </c>
      <c r="P17" s="179"/>
      <c r="Q17" s="157"/>
    </row>
    <row r="18" spans="1:17" s="93" customFormat="1" ht="24.95" customHeight="1">
      <c r="A18" s="88"/>
      <c r="B18" s="89"/>
      <c r="C18" s="89"/>
      <c r="D18" s="206"/>
      <c r="E18" s="383" t="s">
        <v>1208</v>
      </c>
      <c r="F18" s="383"/>
      <c r="G18" s="383"/>
      <c r="H18" s="383"/>
      <c r="I18" s="383" t="s">
        <v>1202</v>
      </c>
      <c r="J18" s="383"/>
      <c r="K18" s="383"/>
      <c r="L18" s="384"/>
      <c r="M18" s="91"/>
      <c r="N18" s="91"/>
      <c r="O18" s="91"/>
      <c r="P18" s="179"/>
      <c r="Q18" s="229"/>
    </row>
    <row r="19" spans="1:17" s="93" customFormat="1" ht="24.95" customHeight="1">
      <c r="A19" s="88"/>
      <c r="B19" s="89"/>
      <c r="C19" s="89"/>
      <c r="D19" s="201"/>
      <c r="E19" s="385" t="s">
        <v>866</v>
      </c>
      <c r="F19" s="386"/>
      <c r="G19" s="386"/>
      <c r="H19" s="386"/>
      <c r="I19" s="386"/>
      <c r="J19" s="386"/>
      <c r="K19" s="95"/>
      <c r="L19" s="96"/>
      <c r="M19" s="96"/>
      <c r="N19" s="96"/>
      <c r="O19" s="96"/>
      <c r="P19" s="179"/>
      <c r="Q19" s="230"/>
    </row>
    <row r="20" spans="1:17" s="93" customFormat="1" ht="24.95" customHeight="1">
      <c r="A20" s="88"/>
      <c r="B20" s="89"/>
      <c r="C20" s="89"/>
      <c r="D20" s="201"/>
      <c r="E20" s="380"/>
      <c r="F20" s="381"/>
      <c r="G20" s="381"/>
      <c r="H20" s="381"/>
      <c r="I20" s="381"/>
      <c r="J20" s="382" t="s">
        <v>1886</v>
      </c>
      <c r="K20" s="382"/>
      <c r="L20" s="96">
        <f>ROUNDDOWN(240000000*1/1000,0)</f>
        <v>240000</v>
      </c>
      <c r="M20" s="262">
        <f>+L20</f>
        <v>240000</v>
      </c>
      <c r="N20" s="262">
        <v>200000</v>
      </c>
      <c r="O20" s="262">
        <f>+M20-N20</f>
        <v>40000</v>
      </c>
      <c r="P20" s="179"/>
      <c r="Q20" s="230"/>
    </row>
    <row r="21" spans="1:17" s="93" customFormat="1" ht="24.95" customHeight="1">
      <c r="A21" s="88"/>
      <c r="B21" s="89"/>
      <c r="C21" s="89"/>
      <c r="D21" s="201"/>
      <c r="E21" s="380"/>
      <c r="F21" s="381"/>
      <c r="G21" s="381"/>
      <c r="H21" s="381"/>
      <c r="I21" s="381"/>
      <c r="J21" s="382"/>
      <c r="K21" s="382"/>
      <c r="L21" s="96"/>
      <c r="M21" s="96"/>
      <c r="N21" s="96"/>
      <c r="O21" s="96"/>
      <c r="P21" s="179"/>
      <c r="Q21" s="230"/>
    </row>
    <row r="22" spans="1:17" ht="24.95" customHeight="1">
      <c r="A22" s="86"/>
      <c r="B22" s="378" t="s">
        <v>858</v>
      </c>
      <c r="C22" s="378"/>
      <c r="D22" s="378"/>
      <c r="E22" s="378"/>
      <c r="F22" s="378" t="s">
        <v>860</v>
      </c>
      <c r="G22" s="378"/>
      <c r="H22" s="378"/>
      <c r="I22" s="378"/>
      <c r="J22" s="378"/>
      <c r="K22" s="378"/>
      <c r="L22" s="379"/>
      <c r="M22" s="85">
        <f>M23+M28</f>
        <v>15501</v>
      </c>
      <c r="N22" s="85">
        <f t="shared" ref="N22:O22" si="1">N23+N28</f>
        <v>18950</v>
      </c>
      <c r="O22" s="85">
        <f t="shared" si="1"/>
        <v>-3449</v>
      </c>
      <c r="P22" s="179"/>
      <c r="Q22" s="157"/>
    </row>
    <row r="23" spans="1:17" ht="24.95" customHeight="1">
      <c r="A23" s="86"/>
      <c r="B23" s="87"/>
      <c r="C23" s="378" t="s">
        <v>1204</v>
      </c>
      <c r="D23" s="378"/>
      <c r="E23" s="378"/>
      <c r="F23" s="378"/>
      <c r="G23" s="378" t="s">
        <v>1205</v>
      </c>
      <c r="H23" s="378"/>
      <c r="I23" s="378"/>
      <c r="J23" s="378"/>
      <c r="K23" s="378"/>
      <c r="L23" s="379"/>
      <c r="M23" s="85">
        <f>+SUM(M24:M27)</f>
        <v>15000</v>
      </c>
      <c r="N23" s="85">
        <f>+SUM(N24:N27)</f>
        <v>15000</v>
      </c>
      <c r="O23" s="85">
        <f>+SUM(O24:O27)</f>
        <v>0</v>
      </c>
      <c r="P23" s="179"/>
      <c r="Q23" s="157"/>
    </row>
    <row r="24" spans="1:17" s="93" customFormat="1" ht="24.95" customHeight="1">
      <c r="A24" s="88"/>
      <c r="B24" s="89"/>
      <c r="C24" s="89"/>
      <c r="D24" s="206"/>
      <c r="E24" s="383" t="s">
        <v>1203</v>
      </c>
      <c r="F24" s="383"/>
      <c r="G24" s="383"/>
      <c r="H24" s="383"/>
      <c r="I24" s="383" t="s">
        <v>1206</v>
      </c>
      <c r="J24" s="383"/>
      <c r="K24" s="383"/>
      <c r="L24" s="384"/>
      <c r="M24" s="91"/>
      <c r="N24" s="91"/>
      <c r="O24" s="91"/>
      <c r="P24" s="179"/>
      <c r="Q24" s="229"/>
    </row>
    <row r="25" spans="1:17" s="93" customFormat="1" ht="24.95" customHeight="1">
      <c r="A25" s="88"/>
      <c r="B25" s="89"/>
      <c r="C25" s="89"/>
      <c r="D25" s="201"/>
      <c r="E25" s="385" t="s">
        <v>863</v>
      </c>
      <c r="F25" s="386"/>
      <c r="G25" s="386"/>
      <c r="H25" s="386"/>
      <c r="I25" s="386"/>
      <c r="J25" s="386"/>
      <c r="K25" s="95"/>
      <c r="L25" s="96"/>
      <c r="M25" s="96"/>
      <c r="N25" s="96"/>
      <c r="O25" s="96"/>
      <c r="P25" s="179"/>
      <c r="Q25" s="230"/>
    </row>
    <row r="26" spans="1:17" s="93" customFormat="1" ht="24.95" customHeight="1">
      <c r="A26" s="88"/>
      <c r="B26" s="89"/>
      <c r="C26" s="89"/>
      <c r="D26" s="201"/>
      <c r="E26" s="200"/>
      <c r="F26" s="201"/>
      <c r="G26" s="201"/>
      <c r="H26" s="201"/>
      <c r="I26" s="201"/>
      <c r="J26" s="382" t="s">
        <v>864</v>
      </c>
      <c r="K26" s="382"/>
      <c r="L26" s="96">
        <f>ROUNDDOWN(15000000*1/1000,0)</f>
        <v>15000</v>
      </c>
      <c r="M26" s="262">
        <f>+L26</f>
        <v>15000</v>
      </c>
      <c r="N26" s="262">
        <v>15000</v>
      </c>
      <c r="O26" s="262">
        <f>+M26-N26</f>
        <v>0</v>
      </c>
      <c r="P26" s="179"/>
      <c r="Q26" s="230"/>
    </row>
    <row r="27" spans="1:17" s="93" customFormat="1" ht="24.95" customHeight="1">
      <c r="A27" s="88"/>
      <c r="B27" s="89"/>
      <c r="C27" s="89"/>
      <c r="D27" s="201"/>
      <c r="E27" s="380"/>
      <c r="F27" s="381"/>
      <c r="G27" s="381"/>
      <c r="H27" s="381"/>
      <c r="I27" s="381"/>
      <c r="J27" s="382"/>
      <c r="K27" s="382"/>
      <c r="L27" s="96"/>
      <c r="M27" s="96"/>
      <c r="N27" s="96"/>
      <c r="O27" s="96"/>
      <c r="P27" s="179"/>
      <c r="Q27" s="230"/>
    </row>
    <row r="28" spans="1:17" ht="24.95" customHeight="1">
      <c r="A28" s="86"/>
      <c r="B28" s="87"/>
      <c r="C28" s="378" t="s">
        <v>861</v>
      </c>
      <c r="D28" s="378"/>
      <c r="E28" s="378"/>
      <c r="F28" s="378"/>
      <c r="G28" s="378" t="s">
        <v>862</v>
      </c>
      <c r="H28" s="378"/>
      <c r="I28" s="378"/>
      <c r="J28" s="378"/>
      <c r="K28" s="378"/>
      <c r="L28" s="379"/>
      <c r="M28" s="85">
        <f>+SUM(M29:M34)</f>
        <v>501</v>
      </c>
      <c r="N28" s="85">
        <f>+SUM(N29:N34)</f>
        <v>3950</v>
      </c>
      <c r="O28" s="85">
        <f>+SUM(O29:O34)</f>
        <v>-3449</v>
      </c>
      <c r="P28" s="179"/>
      <c r="Q28" s="157"/>
    </row>
    <row r="29" spans="1:17" s="93" customFormat="1" ht="24.95" customHeight="1">
      <c r="A29" s="88"/>
      <c r="B29" s="89"/>
      <c r="C29" s="89"/>
      <c r="D29" s="206"/>
      <c r="E29" s="383" t="s">
        <v>1207</v>
      </c>
      <c r="F29" s="383"/>
      <c r="G29" s="383"/>
      <c r="H29" s="383"/>
      <c r="I29" s="383" t="s">
        <v>865</v>
      </c>
      <c r="J29" s="383"/>
      <c r="K29" s="383"/>
      <c r="L29" s="384"/>
      <c r="M29" s="91"/>
      <c r="N29" s="91"/>
      <c r="O29" s="91"/>
      <c r="P29" s="179"/>
      <c r="Q29" s="229"/>
    </row>
    <row r="30" spans="1:17" s="93" customFormat="1" ht="24.95" customHeight="1">
      <c r="A30" s="88"/>
      <c r="B30" s="89"/>
      <c r="C30" s="89"/>
      <c r="D30" s="201"/>
      <c r="E30" s="385" t="s">
        <v>867</v>
      </c>
      <c r="F30" s="386"/>
      <c r="G30" s="386"/>
      <c r="H30" s="386"/>
      <c r="I30" s="386"/>
      <c r="J30" s="386"/>
      <c r="K30" s="95"/>
      <c r="L30" s="96"/>
      <c r="M30" s="96"/>
      <c r="N30" s="96"/>
      <c r="O30" s="96"/>
      <c r="P30" s="179"/>
      <c r="Q30" s="230"/>
    </row>
    <row r="31" spans="1:17" s="93" customFormat="1" ht="24.95" customHeight="1">
      <c r="A31" s="88"/>
      <c r="B31" s="89"/>
      <c r="C31" s="89"/>
      <c r="D31" s="201"/>
      <c r="E31" s="380"/>
      <c r="F31" s="381"/>
      <c r="G31" s="381"/>
      <c r="H31" s="381"/>
      <c r="I31" s="381"/>
      <c r="J31" s="382" t="s">
        <v>868</v>
      </c>
      <c r="K31" s="382"/>
      <c r="L31" s="96">
        <f>ROUNDDOWN(100000*5/1000,0)</f>
        <v>500</v>
      </c>
      <c r="M31" s="262">
        <f>+L31</f>
        <v>500</v>
      </c>
      <c r="N31" s="262">
        <v>500</v>
      </c>
      <c r="O31" s="262">
        <f>+M31-N31</f>
        <v>0</v>
      </c>
      <c r="P31" s="179"/>
      <c r="Q31" s="230"/>
    </row>
    <row r="32" spans="1:17" s="93" customFormat="1" ht="24.95" customHeight="1">
      <c r="A32" s="88"/>
      <c r="B32" s="89"/>
      <c r="C32" s="89"/>
      <c r="D32" s="201"/>
      <c r="E32" s="385" t="s">
        <v>869</v>
      </c>
      <c r="F32" s="386"/>
      <c r="G32" s="386"/>
      <c r="H32" s="386"/>
      <c r="I32" s="386"/>
      <c r="J32" s="386"/>
      <c r="K32" s="95"/>
      <c r="L32" s="96"/>
      <c r="M32" s="262"/>
      <c r="N32" s="262"/>
      <c r="O32" s="262"/>
      <c r="P32" s="179"/>
      <c r="Q32" s="230"/>
    </row>
    <row r="33" spans="1:17" s="93" customFormat="1" ht="24.95" customHeight="1">
      <c r="A33" s="88"/>
      <c r="B33" s="89"/>
      <c r="C33" s="88"/>
      <c r="D33" s="201"/>
      <c r="E33" s="380"/>
      <c r="F33" s="381"/>
      <c r="G33" s="381"/>
      <c r="H33" s="381"/>
      <c r="I33" s="381"/>
      <c r="J33" s="382" t="s">
        <v>1477</v>
      </c>
      <c r="K33" s="382"/>
      <c r="L33" s="96">
        <v>1</v>
      </c>
      <c r="M33" s="262">
        <v>1</v>
      </c>
      <c r="N33" s="262">
        <v>3450</v>
      </c>
      <c r="O33" s="262">
        <f>+M33-N33</f>
        <v>-3449</v>
      </c>
      <c r="P33" s="179"/>
      <c r="Q33" s="324" t="s">
        <v>1199</v>
      </c>
    </row>
    <row r="34" spans="1:17" s="93" customFormat="1" ht="20.100000000000001" customHeight="1">
      <c r="A34" s="231"/>
      <c r="B34" s="232"/>
      <c r="C34" s="231"/>
      <c r="D34" s="233"/>
      <c r="E34" s="387"/>
      <c r="F34" s="388"/>
      <c r="G34" s="388"/>
      <c r="H34" s="388"/>
      <c r="I34" s="388"/>
      <c r="J34" s="389"/>
      <c r="K34" s="389"/>
      <c r="L34" s="234"/>
      <c r="M34" s="234"/>
      <c r="N34" s="234"/>
      <c r="O34" s="234"/>
      <c r="P34" s="179"/>
      <c r="Q34" s="235"/>
    </row>
    <row r="35" spans="1:17" ht="5.0999999999999996" customHeight="1">
      <c r="P35" s="179"/>
    </row>
    <row r="36" spans="1:17">
      <c r="P36" s="179"/>
    </row>
    <row r="37" spans="1:17">
      <c r="P37" s="179"/>
    </row>
    <row r="38" spans="1:17">
      <c r="P38" s="179"/>
    </row>
    <row r="39" spans="1:17">
      <c r="P39" s="179"/>
    </row>
    <row r="40" spans="1:17">
      <c r="P40" s="179"/>
    </row>
    <row r="41" spans="1:17">
      <c r="P41" s="179"/>
    </row>
    <row r="42" spans="1:17">
      <c r="P42" s="179"/>
    </row>
    <row r="43" spans="1:17">
      <c r="P43" s="179"/>
    </row>
    <row r="44" spans="1:17">
      <c r="P44" s="179"/>
    </row>
    <row r="45" spans="1:17">
      <c r="P45" s="179"/>
    </row>
    <row r="46" spans="1:17">
      <c r="P46" s="179"/>
    </row>
    <row r="47" spans="1:17">
      <c r="P47" s="179"/>
    </row>
    <row r="48" spans="1:17">
      <c r="P48" s="179"/>
    </row>
    <row r="49" spans="16:16">
      <c r="P49" s="179"/>
    </row>
    <row r="50" spans="16:16">
      <c r="P50" s="179"/>
    </row>
    <row r="51" spans="16:16">
      <c r="P51" s="179"/>
    </row>
    <row r="52" spans="16:16">
      <c r="P52" s="179"/>
    </row>
    <row r="53" spans="16:16">
      <c r="P53" s="179"/>
    </row>
    <row r="54" spans="16:16">
      <c r="P54" s="179"/>
    </row>
    <row r="55" spans="16:16">
      <c r="P55" s="179"/>
    </row>
    <row r="56" spans="16:16">
      <c r="P56" s="179"/>
    </row>
    <row r="57" spans="16:16">
      <c r="P57" s="179"/>
    </row>
    <row r="58" spans="16:16">
      <c r="P58" s="179"/>
    </row>
    <row r="59" spans="16:16">
      <c r="P59" s="179"/>
    </row>
    <row r="60" spans="16:16">
      <c r="P60" s="179"/>
    </row>
    <row r="61" spans="16:16">
      <c r="P61" s="179"/>
    </row>
    <row r="62" spans="16:16">
      <c r="P62" s="179"/>
    </row>
    <row r="63" spans="16:16">
      <c r="P63" s="179"/>
    </row>
    <row r="64" spans="16:16">
      <c r="P64" s="179"/>
    </row>
    <row r="65" spans="16:16">
      <c r="P65" s="179"/>
    </row>
    <row r="66" spans="16:16">
      <c r="P66" s="179"/>
    </row>
    <row r="67" spans="16:16">
      <c r="P67" s="179"/>
    </row>
    <row r="68" spans="16:16">
      <c r="P68" s="179"/>
    </row>
    <row r="69" spans="16:16">
      <c r="P69" s="179"/>
    </row>
    <row r="70" spans="16:16">
      <c r="P70" s="179"/>
    </row>
    <row r="71" spans="16:16">
      <c r="P71" s="179"/>
    </row>
    <row r="72" spans="16:16">
      <c r="P72" s="179"/>
    </row>
    <row r="73" spans="16:16">
      <c r="P73" s="179"/>
    </row>
    <row r="74" spans="16:16">
      <c r="P74" s="179"/>
    </row>
    <row r="75" spans="16:16">
      <c r="P75" s="179"/>
    </row>
    <row r="76" spans="16:16">
      <c r="P76" s="179"/>
    </row>
    <row r="77" spans="16:16">
      <c r="P77" s="179"/>
    </row>
    <row r="78" spans="16:16">
      <c r="P78" s="179"/>
    </row>
    <row r="79" spans="16:16">
      <c r="P79" s="179"/>
    </row>
    <row r="80" spans="16:16">
      <c r="P80" s="179"/>
    </row>
    <row r="81" spans="16:16">
      <c r="P81" s="179"/>
    </row>
    <row r="82" spans="16:16">
      <c r="P82" s="179"/>
    </row>
    <row r="83" spans="16:16">
      <c r="P83" s="179"/>
    </row>
    <row r="84" spans="16:16">
      <c r="P84" s="179"/>
    </row>
    <row r="85" spans="16:16">
      <c r="P85" s="179"/>
    </row>
    <row r="86" spans="16:16">
      <c r="P86" s="179"/>
    </row>
    <row r="87" spans="16:16">
      <c r="P87" s="179"/>
    </row>
    <row r="88" spans="16:16">
      <c r="P88" s="179"/>
    </row>
    <row r="89" spans="16:16">
      <c r="P89" s="179"/>
    </row>
    <row r="90" spans="16:16">
      <c r="P90" s="179"/>
    </row>
    <row r="91" spans="16:16">
      <c r="P91" s="179"/>
    </row>
    <row r="92" spans="16:16">
      <c r="P92" s="179"/>
    </row>
    <row r="93" spans="16:16">
      <c r="P93" s="179"/>
    </row>
    <row r="94" spans="16:16">
      <c r="P94" s="179"/>
    </row>
    <row r="95" spans="16:16">
      <c r="P95" s="179"/>
    </row>
    <row r="96" spans="16:16">
      <c r="P96" s="179"/>
    </row>
    <row r="97" spans="16:16">
      <c r="P97" s="179"/>
    </row>
    <row r="98" spans="16:16">
      <c r="P98" s="179"/>
    </row>
    <row r="99" spans="16:16">
      <c r="P99" s="179"/>
    </row>
    <row r="100" spans="16:16">
      <c r="P100" s="179"/>
    </row>
    <row r="101" spans="16:16">
      <c r="P101" s="179"/>
    </row>
    <row r="102" spans="16:16">
      <c r="P102" s="179"/>
    </row>
    <row r="103" spans="16:16">
      <c r="P103" s="179"/>
    </row>
    <row r="104" spans="16:16">
      <c r="P104" s="179"/>
    </row>
    <row r="105" spans="16:16">
      <c r="P105" s="179"/>
    </row>
    <row r="106" spans="16:16">
      <c r="P106" s="179"/>
    </row>
    <row r="107" spans="16:16">
      <c r="P107" s="179"/>
    </row>
    <row r="108" spans="16:16">
      <c r="P108" s="179"/>
    </row>
    <row r="109" spans="16:16">
      <c r="P109" s="179"/>
    </row>
    <row r="110" spans="16:16">
      <c r="P110" s="179"/>
    </row>
    <row r="111" spans="16:16">
      <c r="P111" s="179"/>
    </row>
    <row r="112" spans="16:16">
      <c r="P112" s="179"/>
    </row>
    <row r="113" spans="16:16">
      <c r="P113" s="179"/>
    </row>
    <row r="114" spans="16:16">
      <c r="P114" s="179"/>
    </row>
    <row r="115" spans="16:16">
      <c r="P115" s="179"/>
    </row>
    <row r="116" spans="16:16">
      <c r="P116" s="179"/>
    </row>
    <row r="117" spans="16:16">
      <c r="P117" s="179"/>
    </row>
    <row r="118" spans="16:16">
      <c r="P118" s="179"/>
    </row>
    <row r="119" spans="16:16">
      <c r="P119" s="179"/>
    </row>
    <row r="120" spans="16:16">
      <c r="P120" s="179"/>
    </row>
    <row r="121" spans="16:16">
      <c r="P121" s="179"/>
    </row>
    <row r="122" spans="16:16">
      <c r="P122" s="179"/>
    </row>
    <row r="123" spans="16:16">
      <c r="P123" s="179"/>
    </row>
    <row r="124" spans="16:16">
      <c r="P124" s="179"/>
    </row>
    <row r="125" spans="16:16">
      <c r="P125" s="179"/>
    </row>
    <row r="126" spans="16:16">
      <c r="P126" s="179"/>
    </row>
    <row r="127" spans="16:16">
      <c r="P127" s="179"/>
    </row>
    <row r="128" spans="16:16">
      <c r="P128" s="179"/>
    </row>
    <row r="129" spans="16:16">
      <c r="P129" s="179"/>
    </row>
    <row r="130" spans="16:16">
      <c r="P130" s="179"/>
    </row>
    <row r="131" spans="16:16">
      <c r="P131" s="179"/>
    </row>
    <row r="132" spans="16:16">
      <c r="P132" s="179"/>
    </row>
    <row r="133" spans="16:16">
      <c r="P133" s="179"/>
    </row>
    <row r="134" spans="16:16">
      <c r="P134" s="179"/>
    </row>
    <row r="135" spans="16:16">
      <c r="P135" s="179"/>
    </row>
    <row r="136" spans="16:16">
      <c r="P136" s="179"/>
    </row>
    <row r="137" spans="16:16">
      <c r="P137" s="179"/>
    </row>
    <row r="138" spans="16:16">
      <c r="P138" s="179"/>
    </row>
    <row r="139" spans="16:16">
      <c r="P139" s="179"/>
    </row>
    <row r="140" spans="16:16">
      <c r="P140" s="179"/>
    </row>
    <row r="141" spans="16:16">
      <c r="P141" s="179"/>
    </row>
    <row r="142" spans="16:16">
      <c r="P142" s="179"/>
    </row>
    <row r="143" spans="16:16">
      <c r="P143" s="179"/>
    </row>
    <row r="144" spans="16:16">
      <c r="P144" s="179"/>
    </row>
    <row r="145" spans="16:16">
      <c r="P145" s="179"/>
    </row>
    <row r="146" spans="16:16">
      <c r="P146" s="179"/>
    </row>
    <row r="147" spans="16:16">
      <c r="P147" s="179"/>
    </row>
    <row r="148" spans="16:16">
      <c r="P148" s="179"/>
    </row>
    <row r="149" spans="16:16">
      <c r="P149" s="179"/>
    </row>
    <row r="150" spans="16:16">
      <c r="P150" s="179"/>
    </row>
    <row r="151" spans="16:16">
      <c r="P151" s="179"/>
    </row>
    <row r="152" spans="16:16">
      <c r="P152" s="179"/>
    </row>
    <row r="153" spans="16:16">
      <c r="P153" s="179"/>
    </row>
    <row r="154" spans="16:16">
      <c r="P154" s="179"/>
    </row>
    <row r="155" spans="16:16">
      <c r="P155" s="179"/>
    </row>
    <row r="156" spans="16:16">
      <c r="P156" s="179"/>
    </row>
    <row r="157" spans="16:16">
      <c r="P157" s="179"/>
    </row>
    <row r="158" spans="16:16">
      <c r="P158" s="179"/>
    </row>
    <row r="159" spans="16:16">
      <c r="P159" s="179"/>
    </row>
    <row r="160" spans="16:16">
      <c r="P160" s="179"/>
    </row>
    <row r="161" spans="16:16">
      <c r="P161" s="179"/>
    </row>
    <row r="162" spans="16:16">
      <c r="P162" s="179"/>
    </row>
    <row r="163" spans="16:16">
      <c r="P163" s="179"/>
    </row>
    <row r="164" spans="16:16">
      <c r="P164" s="179"/>
    </row>
    <row r="165" spans="16:16">
      <c r="P165" s="179"/>
    </row>
    <row r="166" spans="16:16">
      <c r="P166" s="179"/>
    </row>
    <row r="167" spans="16:16">
      <c r="P167" s="179"/>
    </row>
    <row r="168" spans="16:16">
      <c r="P168" s="179"/>
    </row>
    <row r="169" spans="16:16">
      <c r="P169" s="179"/>
    </row>
    <row r="170" spans="16:16">
      <c r="P170" s="179"/>
    </row>
    <row r="171" spans="16:16">
      <c r="P171" s="179"/>
    </row>
    <row r="172" spans="16:16">
      <c r="P172" s="179"/>
    </row>
    <row r="173" spans="16:16">
      <c r="P173" s="179"/>
    </row>
    <row r="174" spans="16:16">
      <c r="P174" s="179"/>
    </row>
    <row r="175" spans="16:16">
      <c r="P175" s="179"/>
    </row>
    <row r="176" spans="16:16">
      <c r="P176" s="179"/>
    </row>
    <row r="177" spans="16:16">
      <c r="P177" s="179"/>
    </row>
    <row r="178" spans="16:16">
      <c r="P178" s="179"/>
    </row>
    <row r="179" spans="16:16">
      <c r="P179" s="179"/>
    </row>
    <row r="180" spans="16:16">
      <c r="P180" s="179"/>
    </row>
    <row r="181" spans="16:16">
      <c r="P181" s="179"/>
    </row>
    <row r="182" spans="16:16">
      <c r="P182" s="179"/>
    </row>
    <row r="183" spans="16:16">
      <c r="P183" s="179"/>
    </row>
    <row r="184" spans="16:16">
      <c r="P184" s="179"/>
    </row>
    <row r="185" spans="16:16">
      <c r="P185" s="179"/>
    </row>
    <row r="186" spans="16:16">
      <c r="P186" s="179"/>
    </row>
    <row r="187" spans="16:16">
      <c r="P187" s="179"/>
    </row>
    <row r="188" spans="16:16">
      <c r="P188" s="179"/>
    </row>
    <row r="189" spans="16:16">
      <c r="P189" s="179"/>
    </row>
    <row r="190" spans="16:16">
      <c r="P190" s="179"/>
    </row>
    <row r="191" spans="16:16">
      <c r="P191" s="179"/>
    </row>
    <row r="192" spans="16:16">
      <c r="P192" s="178"/>
    </row>
    <row r="193" spans="16:16">
      <c r="P193" s="179"/>
    </row>
    <row r="194" spans="16:16">
      <c r="P194" s="179"/>
    </row>
    <row r="195" spans="16:16">
      <c r="P195" s="179"/>
    </row>
    <row r="196" spans="16:16">
      <c r="P196" s="179"/>
    </row>
    <row r="197" spans="16:16">
      <c r="P197" s="179"/>
    </row>
    <row r="198" spans="16:16">
      <c r="P198" s="179"/>
    </row>
    <row r="199" spans="16:16">
      <c r="P199" s="179"/>
    </row>
    <row r="200" spans="16:16">
      <c r="P200" s="179"/>
    </row>
    <row r="201" spans="16:16">
      <c r="P201" s="179"/>
    </row>
    <row r="202" spans="16:16">
      <c r="P202" s="179"/>
    </row>
    <row r="203" spans="16:16">
      <c r="P203" s="179"/>
    </row>
    <row r="204" spans="16:16">
      <c r="P204" s="179"/>
    </row>
    <row r="205" spans="16:16">
      <c r="P205" s="179"/>
    </row>
    <row r="206" spans="16:16">
      <c r="P206" s="179"/>
    </row>
    <row r="207" spans="16:16">
      <c r="P207" s="179"/>
    </row>
    <row r="208" spans="16:16">
      <c r="P208" s="179"/>
    </row>
    <row r="209" spans="16:16">
      <c r="P209" s="179"/>
    </row>
    <row r="210" spans="16:16">
      <c r="P210" s="179"/>
    </row>
    <row r="211" spans="16:16">
      <c r="P211" s="179"/>
    </row>
    <row r="212" spans="16:16">
      <c r="P212" s="179"/>
    </row>
    <row r="213" spans="16:16">
      <c r="P213" s="179"/>
    </row>
    <row r="214" spans="16:16">
      <c r="P214" s="179"/>
    </row>
    <row r="215" spans="16:16">
      <c r="P215" s="179"/>
    </row>
    <row r="216" spans="16:16">
      <c r="P216" s="179"/>
    </row>
    <row r="217" spans="16:16">
      <c r="P217" s="179"/>
    </row>
    <row r="218" spans="16:16">
      <c r="P218" s="179"/>
    </row>
    <row r="219" spans="16:16">
      <c r="P219" s="179"/>
    </row>
    <row r="220" spans="16:16">
      <c r="P220" s="179"/>
    </row>
    <row r="221" spans="16:16">
      <c r="P221" s="179"/>
    </row>
    <row r="222" spans="16:16">
      <c r="P222" s="179"/>
    </row>
    <row r="223" spans="16:16">
      <c r="P223" s="179"/>
    </row>
    <row r="224" spans="16:16">
      <c r="P224" s="179"/>
    </row>
    <row r="225" spans="16:16">
      <c r="P225" s="179"/>
    </row>
    <row r="226" spans="16:16">
      <c r="P226" s="179"/>
    </row>
    <row r="227" spans="16:16">
      <c r="P227" s="179"/>
    </row>
    <row r="228" spans="16:16">
      <c r="P228" s="179"/>
    </row>
    <row r="229" spans="16:16">
      <c r="P229" s="179"/>
    </row>
    <row r="230" spans="16:16">
      <c r="P230" s="179"/>
    </row>
    <row r="231" spans="16:16">
      <c r="P231" s="179"/>
    </row>
    <row r="232" spans="16:16">
      <c r="P232" s="179"/>
    </row>
    <row r="233" spans="16:16">
      <c r="P233" s="179"/>
    </row>
    <row r="234" spans="16:16">
      <c r="P234" s="179"/>
    </row>
    <row r="235" spans="16:16">
      <c r="P235" s="179"/>
    </row>
    <row r="236" spans="16:16">
      <c r="P236" s="179"/>
    </row>
    <row r="237" spans="16:16">
      <c r="P237" s="179"/>
    </row>
    <row r="238" spans="16:16">
      <c r="P238" s="179"/>
    </row>
    <row r="239" spans="16:16">
      <c r="P239" s="179"/>
    </row>
    <row r="240" spans="16:16">
      <c r="P240" s="179"/>
    </row>
    <row r="241" spans="16:16">
      <c r="P241" s="179"/>
    </row>
    <row r="242" spans="16:16">
      <c r="P242" s="179"/>
    </row>
    <row r="243" spans="16:16">
      <c r="P243" s="179"/>
    </row>
    <row r="244" spans="16:16">
      <c r="P244" s="179"/>
    </row>
    <row r="245" spans="16:16">
      <c r="P245" s="179"/>
    </row>
    <row r="246" spans="16:16">
      <c r="P246" s="179"/>
    </row>
    <row r="247" spans="16:16">
      <c r="P247" s="179"/>
    </row>
    <row r="248" spans="16:16">
      <c r="P248" s="179"/>
    </row>
    <row r="249" spans="16:16">
      <c r="P249" s="179"/>
    </row>
    <row r="250" spans="16:16">
      <c r="P250" s="179"/>
    </row>
    <row r="251" spans="16:16">
      <c r="P251" s="179"/>
    </row>
    <row r="252" spans="16:16">
      <c r="P252" s="179"/>
    </row>
    <row r="253" spans="16:16">
      <c r="P253" s="179"/>
    </row>
    <row r="254" spans="16:16">
      <c r="P254" s="179"/>
    </row>
    <row r="255" spans="16:16">
      <c r="P255" s="179"/>
    </row>
    <row r="256" spans="16:16">
      <c r="P256" s="179"/>
    </row>
    <row r="257" spans="16:16">
      <c r="P257" s="179"/>
    </row>
    <row r="258" spans="16:16">
      <c r="P258" s="179"/>
    </row>
    <row r="259" spans="16:16">
      <c r="P259" s="179"/>
    </row>
    <row r="260" spans="16:16">
      <c r="P260" s="179"/>
    </row>
    <row r="261" spans="16:16">
      <c r="P261" s="179"/>
    </row>
    <row r="262" spans="16:16">
      <c r="P262" s="179"/>
    </row>
    <row r="263" spans="16:16">
      <c r="P263" s="179"/>
    </row>
    <row r="264" spans="16:16">
      <c r="P264" s="179"/>
    </row>
    <row r="265" spans="16:16">
      <c r="P265" s="179"/>
    </row>
    <row r="266" spans="16:16">
      <c r="P266" s="179"/>
    </row>
    <row r="267" spans="16:16">
      <c r="P267" s="179"/>
    </row>
    <row r="268" spans="16:16">
      <c r="P268" s="179"/>
    </row>
    <row r="269" spans="16:16">
      <c r="P269" s="179"/>
    </row>
    <row r="270" spans="16:16">
      <c r="P270" s="179"/>
    </row>
    <row r="271" spans="16:16">
      <c r="P271" s="179"/>
    </row>
    <row r="272" spans="16:16">
      <c r="P272" s="179"/>
    </row>
    <row r="273" spans="16:16">
      <c r="P273" s="179"/>
    </row>
    <row r="274" spans="16:16">
      <c r="P274" s="179"/>
    </row>
    <row r="275" spans="16:16">
      <c r="P275" s="179"/>
    </row>
    <row r="276" spans="16:16">
      <c r="P276" s="179"/>
    </row>
    <row r="277" spans="16:16">
      <c r="P277" s="179"/>
    </row>
    <row r="278" spans="16:16">
      <c r="P278" s="179"/>
    </row>
    <row r="279" spans="16:16">
      <c r="P279" s="179"/>
    </row>
    <row r="280" spans="16:16">
      <c r="P280" s="179"/>
    </row>
    <row r="281" spans="16:16">
      <c r="P281" s="179"/>
    </row>
    <row r="282" spans="16:16">
      <c r="P282" s="179"/>
    </row>
    <row r="283" spans="16:16">
      <c r="P283" s="179"/>
    </row>
    <row r="284" spans="16:16">
      <c r="P284" s="179"/>
    </row>
    <row r="285" spans="16:16">
      <c r="P285" s="179"/>
    </row>
    <row r="286" spans="16:16">
      <c r="P286" s="179"/>
    </row>
    <row r="287" spans="16:16">
      <c r="P287" s="179"/>
    </row>
    <row r="288" spans="16:16">
      <c r="P288" s="179"/>
    </row>
    <row r="289" spans="16:16">
      <c r="P289" s="179"/>
    </row>
    <row r="290" spans="16:16">
      <c r="P290" s="179"/>
    </row>
    <row r="291" spans="16:16">
      <c r="P291" s="179"/>
    </row>
    <row r="292" spans="16:16">
      <c r="P292" s="179"/>
    </row>
    <row r="293" spans="16:16">
      <c r="P293" s="179"/>
    </row>
    <row r="294" spans="16:16">
      <c r="P294" s="179"/>
    </row>
    <row r="295" spans="16:16">
      <c r="P295" s="179"/>
    </row>
    <row r="296" spans="16:16">
      <c r="P296" s="179"/>
    </row>
    <row r="297" spans="16:16">
      <c r="P297" s="179"/>
    </row>
    <row r="298" spans="16:16">
      <c r="P298" s="179"/>
    </row>
    <row r="299" spans="16:16">
      <c r="P299" s="179"/>
    </row>
    <row r="300" spans="16:16">
      <c r="P300" s="179"/>
    </row>
    <row r="301" spans="16:16">
      <c r="P301" s="179"/>
    </row>
    <row r="302" spans="16:16">
      <c r="P302" s="179"/>
    </row>
    <row r="303" spans="16:16">
      <c r="P303" s="179"/>
    </row>
    <row r="304" spans="16:16">
      <c r="P304" s="179"/>
    </row>
    <row r="305" spans="16:16">
      <c r="P305" s="179"/>
    </row>
    <row r="306" spans="16:16">
      <c r="P306" s="179"/>
    </row>
    <row r="307" spans="16:16">
      <c r="P307" s="179"/>
    </row>
    <row r="308" spans="16:16">
      <c r="P308" s="179"/>
    </row>
    <row r="309" spans="16:16">
      <c r="P309" s="179"/>
    </row>
    <row r="310" spans="16:16">
      <c r="P310" s="179"/>
    </row>
    <row r="311" spans="16:16">
      <c r="P311" s="179"/>
    </row>
    <row r="312" spans="16:16">
      <c r="P312" s="179"/>
    </row>
    <row r="313" spans="16:16">
      <c r="P313" s="179"/>
    </row>
    <row r="314" spans="16:16">
      <c r="P314" s="179"/>
    </row>
    <row r="315" spans="16:16">
      <c r="P315" s="179"/>
    </row>
    <row r="316" spans="16:16">
      <c r="P316" s="179"/>
    </row>
    <row r="317" spans="16:16">
      <c r="P317" s="176"/>
    </row>
    <row r="318" spans="16:16">
      <c r="P318" s="180"/>
    </row>
    <row r="319" spans="16:16">
      <c r="P319" s="180"/>
    </row>
    <row r="320" spans="16:16">
      <c r="P320" s="180"/>
    </row>
    <row r="321" spans="16:16">
      <c r="P321" s="180"/>
    </row>
    <row r="322" spans="16:16">
      <c r="P322" s="180"/>
    </row>
    <row r="323" spans="16:16">
      <c r="P323" s="180"/>
    </row>
    <row r="324" spans="16:16">
      <c r="P324" s="180"/>
    </row>
    <row r="325" spans="16:16">
      <c r="P325" s="180"/>
    </row>
    <row r="326" spans="16:16">
      <c r="P326" s="180"/>
    </row>
    <row r="327" spans="16:16">
      <c r="P327" s="180"/>
    </row>
    <row r="328" spans="16:16">
      <c r="P328" s="180"/>
    </row>
    <row r="329" spans="16:16">
      <c r="P329" s="180"/>
    </row>
    <row r="330" spans="16:16">
      <c r="P330" s="180"/>
    </row>
    <row r="331" spans="16:16">
      <c r="P331" s="180"/>
    </row>
    <row r="332" spans="16:16">
      <c r="P332" s="180"/>
    </row>
    <row r="333" spans="16:16">
      <c r="P333" s="180"/>
    </row>
    <row r="334" spans="16:16">
      <c r="P334" s="180"/>
    </row>
    <row r="335" spans="16:16">
      <c r="P335" s="180"/>
    </row>
    <row r="336" spans="16:16">
      <c r="P336" s="180"/>
    </row>
    <row r="337" spans="16:16">
      <c r="P337" s="180"/>
    </row>
    <row r="338" spans="16:16">
      <c r="P338" s="180"/>
    </row>
    <row r="339" spans="16:16">
      <c r="P339" s="180"/>
    </row>
    <row r="340" spans="16:16">
      <c r="P340" s="180"/>
    </row>
    <row r="341" spans="16:16">
      <c r="P341" s="180"/>
    </row>
    <row r="342" spans="16:16">
      <c r="P342" s="180"/>
    </row>
    <row r="343" spans="16:16">
      <c r="P343" s="180"/>
    </row>
    <row r="344" spans="16:16">
      <c r="P344" s="180"/>
    </row>
    <row r="345" spans="16:16">
      <c r="P345" s="180"/>
    </row>
    <row r="346" spans="16:16">
      <c r="P346" s="180"/>
    </row>
    <row r="347" spans="16:16">
      <c r="P347" s="180"/>
    </row>
    <row r="348" spans="16:16">
      <c r="P348" s="180"/>
    </row>
    <row r="349" spans="16:16">
      <c r="P349" s="180"/>
    </row>
    <row r="350" spans="16:16">
      <c r="P350" s="180"/>
    </row>
    <row r="351" spans="16:16">
      <c r="P351" s="180"/>
    </row>
    <row r="352" spans="16:16">
      <c r="P352" s="180"/>
    </row>
    <row r="353" spans="16:16">
      <c r="P353" s="180"/>
    </row>
    <row r="354" spans="16:16">
      <c r="P354" s="180"/>
    </row>
    <row r="355" spans="16:16">
      <c r="P355" s="180"/>
    </row>
    <row r="356" spans="16:16">
      <c r="P356" s="180"/>
    </row>
    <row r="357" spans="16:16">
      <c r="P357" s="180"/>
    </row>
    <row r="358" spans="16:16">
      <c r="P358" s="180"/>
    </row>
    <row r="359" spans="16:16">
      <c r="P359" s="180"/>
    </row>
    <row r="360" spans="16:16">
      <c r="P360" s="180"/>
    </row>
    <row r="361" spans="16:16">
      <c r="P361" s="180"/>
    </row>
    <row r="362" spans="16:16">
      <c r="P362" s="180"/>
    </row>
    <row r="363" spans="16:16">
      <c r="P363" s="180"/>
    </row>
    <row r="364" spans="16:16">
      <c r="P364" s="180"/>
    </row>
    <row r="365" spans="16:16">
      <c r="P365" s="180"/>
    </row>
    <row r="366" spans="16:16">
      <c r="P366" s="180"/>
    </row>
    <row r="367" spans="16:16">
      <c r="P367" s="180"/>
    </row>
    <row r="368" spans="16:16">
      <c r="P368" s="180"/>
    </row>
    <row r="369" spans="16:16">
      <c r="P369" s="180"/>
    </row>
    <row r="370" spans="16:16">
      <c r="P370" s="180"/>
    </row>
    <row r="371" spans="16:16">
      <c r="P371" s="180"/>
    </row>
    <row r="372" spans="16:16">
      <c r="P372" s="180"/>
    </row>
    <row r="373" spans="16:16">
      <c r="P373" s="180"/>
    </row>
    <row r="374" spans="16:16">
      <c r="P374" s="180"/>
    </row>
    <row r="375" spans="16:16">
      <c r="P375" s="180"/>
    </row>
    <row r="376" spans="16:16">
      <c r="P376" s="180"/>
    </row>
    <row r="377" spans="16:16">
      <c r="P377" s="180"/>
    </row>
    <row r="378" spans="16:16">
      <c r="P378" s="180"/>
    </row>
    <row r="379" spans="16:16">
      <c r="P379" s="180"/>
    </row>
    <row r="380" spans="16:16">
      <c r="P380" s="180"/>
    </row>
    <row r="381" spans="16:16">
      <c r="P381" s="180"/>
    </row>
    <row r="382" spans="16:16">
      <c r="P382" s="180"/>
    </row>
    <row r="383" spans="16:16">
      <c r="P383" s="180"/>
    </row>
    <row r="384" spans="16:16">
      <c r="P384" s="180"/>
    </row>
    <row r="385" spans="16:16">
      <c r="P385" s="180"/>
    </row>
    <row r="386" spans="16:16">
      <c r="P386" s="180"/>
    </row>
    <row r="387" spans="16:16">
      <c r="P387" s="180"/>
    </row>
    <row r="388" spans="16:16">
      <c r="P388" s="180"/>
    </row>
    <row r="389" spans="16:16">
      <c r="P389" s="180"/>
    </row>
    <row r="390" spans="16:16">
      <c r="P390" s="180"/>
    </row>
    <row r="391" spans="16:16">
      <c r="P391" s="180"/>
    </row>
    <row r="392" spans="16:16">
      <c r="P392" s="180"/>
    </row>
    <row r="393" spans="16:16">
      <c r="P393" s="180"/>
    </row>
    <row r="394" spans="16:16">
      <c r="P394" s="180"/>
    </row>
    <row r="395" spans="16:16">
      <c r="P395" s="180"/>
    </row>
    <row r="396" spans="16:16">
      <c r="P396" s="180"/>
    </row>
    <row r="397" spans="16:16">
      <c r="P397" s="180"/>
    </row>
    <row r="398" spans="16:16">
      <c r="P398" s="180"/>
    </row>
    <row r="399" spans="16:16">
      <c r="P399" s="180"/>
    </row>
    <row r="400" spans="16:16">
      <c r="P400" s="180"/>
    </row>
    <row r="401" spans="16:16">
      <c r="P401" s="180"/>
    </row>
    <row r="402" spans="16:16">
      <c r="P402" s="180"/>
    </row>
    <row r="403" spans="16:16">
      <c r="P403" s="180"/>
    </row>
    <row r="404" spans="16:16">
      <c r="P404" s="180"/>
    </row>
    <row r="405" spans="16:16">
      <c r="P405" s="180"/>
    </row>
    <row r="406" spans="16:16">
      <c r="P406" s="180"/>
    </row>
    <row r="407" spans="16:16">
      <c r="P407" s="180"/>
    </row>
    <row r="408" spans="16:16">
      <c r="P408" s="180"/>
    </row>
    <row r="409" spans="16:16">
      <c r="P409" s="180"/>
    </row>
    <row r="410" spans="16:16">
      <c r="P410" s="180"/>
    </row>
    <row r="411" spans="16:16">
      <c r="P411" s="180"/>
    </row>
    <row r="412" spans="16:16">
      <c r="P412" s="180"/>
    </row>
    <row r="413" spans="16:16">
      <c r="P413" s="180"/>
    </row>
    <row r="414" spans="16:16">
      <c r="P414" s="180"/>
    </row>
    <row r="415" spans="16:16">
      <c r="P415" s="180"/>
    </row>
    <row r="416" spans="16:16">
      <c r="P416" s="180"/>
    </row>
    <row r="417" spans="16:16">
      <c r="P417" s="180"/>
    </row>
    <row r="418" spans="16:16">
      <c r="P418" s="180"/>
    </row>
    <row r="419" spans="16:16">
      <c r="P419" s="180"/>
    </row>
    <row r="420" spans="16:16">
      <c r="P420" s="180"/>
    </row>
    <row r="421" spans="16:16">
      <c r="P421" s="180"/>
    </row>
    <row r="422" spans="16:16">
      <c r="P422" s="180"/>
    </row>
    <row r="423" spans="16:16">
      <c r="P423" s="180"/>
    </row>
  </sheetData>
  <mergeCells count="58">
    <mergeCell ref="A1:O1"/>
    <mergeCell ref="A3:M3"/>
    <mergeCell ref="A4:L4"/>
    <mergeCell ref="M4:M5"/>
    <mergeCell ref="N4:N5"/>
    <mergeCell ref="Q4:Q5"/>
    <mergeCell ref="A5:L5"/>
    <mergeCell ref="N3:O3"/>
    <mergeCell ref="E14:J14"/>
    <mergeCell ref="O4:O5"/>
    <mergeCell ref="A6:L6"/>
    <mergeCell ref="A7:D7"/>
    <mergeCell ref="E7:L7"/>
    <mergeCell ref="B8:E8"/>
    <mergeCell ref="F8:L8"/>
    <mergeCell ref="C9:F9"/>
    <mergeCell ref="G9:L9"/>
    <mergeCell ref="E15:I15"/>
    <mergeCell ref="J15:K15"/>
    <mergeCell ref="E10:H10"/>
    <mergeCell ref="I10:L10"/>
    <mergeCell ref="E11:J11"/>
    <mergeCell ref="E12:J12"/>
    <mergeCell ref="E13:I13"/>
    <mergeCell ref="J13:K13"/>
    <mergeCell ref="E34:I34"/>
    <mergeCell ref="J34:K34"/>
    <mergeCell ref="E29:H29"/>
    <mergeCell ref="I29:L29"/>
    <mergeCell ref="E16:I16"/>
    <mergeCell ref="J16:K16"/>
    <mergeCell ref="E32:J32"/>
    <mergeCell ref="E30:J30"/>
    <mergeCell ref="E31:I31"/>
    <mergeCell ref="J31:K31"/>
    <mergeCell ref="E33:I33"/>
    <mergeCell ref="J33:K33"/>
    <mergeCell ref="C28:F28"/>
    <mergeCell ref="G28:L28"/>
    <mergeCell ref="E25:J25"/>
    <mergeCell ref="J26:K26"/>
    <mergeCell ref="C17:F17"/>
    <mergeCell ref="G17:L17"/>
    <mergeCell ref="E18:H18"/>
    <mergeCell ref="I18:L18"/>
    <mergeCell ref="E19:J19"/>
    <mergeCell ref="F22:L22"/>
    <mergeCell ref="E27:I27"/>
    <mergeCell ref="J27:K27"/>
    <mergeCell ref="E20:I20"/>
    <mergeCell ref="J20:K20"/>
    <mergeCell ref="E21:I21"/>
    <mergeCell ref="J21:K21"/>
    <mergeCell ref="C23:F23"/>
    <mergeCell ref="G23:L23"/>
    <mergeCell ref="E24:H24"/>
    <mergeCell ref="I24:L24"/>
    <mergeCell ref="B22:E22"/>
  </mergeCells>
  <phoneticPr fontId="2" type="noConversion"/>
  <pageMargins left="0.70866141732283472" right="0.70866141732283472" top="1.1417322834645669" bottom="1.1417322834645669" header="0.31496062992125984" footer="0.31496062992125984"/>
  <pageSetup paperSize="9" scale="64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97"/>
  <sheetViews>
    <sheetView topLeftCell="A300" zoomScaleNormal="100" workbookViewId="0">
      <selection activeCell="E358" sqref="E358:I358"/>
    </sheetView>
  </sheetViews>
  <sheetFormatPr defaultRowHeight="16.5"/>
  <cols>
    <col min="1" max="7" width="1" style="26" customWidth="1"/>
    <col min="8" max="8" width="0.5" style="26" customWidth="1"/>
    <col min="9" max="9" width="31.75" style="26" customWidth="1"/>
    <col min="10" max="10" width="33.5" style="26" customWidth="1"/>
    <col min="11" max="11" width="2.625" style="26" customWidth="1"/>
    <col min="12" max="12" width="10.375" style="26" customWidth="1"/>
    <col min="13" max="14" width="10.875" style="26" customWidth="1"/>
    <col min="15" max="15" width="12.25" style="26" customWidth="1"/>
    <col min="16" max="16" width="20.625" style="34" customWidth="1"/>
    <col min="17" max="17" width="9" style="34"/>
    <col min="18" max="240" width="9" style="26"/>
    <col min="241" max="247" width="1" style="26" customWidth="1"/>
    <col min="248" max="248" width="0.5" style="26" customWidth="1"/>
    <col min="249" max="249" width="31.25" style="26" customWidth="1"/>
    <col min="250" max="250" width="33.5" style="26" customWidth="1"/>
    <col min="251" max="251" width="2.625" style="26" customWidth="1"/>
    <col min="252" max="255" width="10.375" style="26" customWidth="1"/>
    <col min="256" max="258" width="0" style="26" hidden="1" customWidth="1"/>
    <col min="259" max="261" width="12.25" style="26" bestFit="1" customWidth="1"/>
    <col min="262" max="262" width="9" style="26"/>
    <col min="263" max="263" width="11" style="26" bestFit="1" customWidth="1"/>
    <col min="264" max="496" width="9" style="26"/>
    <col min="497" max="503" width="1" style="26" customWidth="1"/>
    <col min="504" max="504" width="0.5" style="26" customWidth="1"/>
    <col min="505" max="505" width="31.25" style="26" customWidth="1"/>
    <col min="506" max="506" width="33.5" style="26" customWidth="1"/>
    <col min="507" max="507" width="2.625" style="26" customWidth="1"/>
    <col min="508" max="511" width="10.375" style="26" customWidth="1"/>
    <col min="512" max="514" width="0" style="26" hidden="1" customWidth="1"/>
    <col min="515" max="517" width="12.25" style="26" bestFit="1" customWidth="1"/>
    <col min="518" max="518" width="9" style="26"/>
    <col min="519" max="519" width="11" style="26" bestFit="1" customWidth="1"/>
    <col min="520" max="752" width="9" style="26"/>
    <col min="753" max="759" width="1" style="26" customWidth="1"/>
    <col min="760" max="760" width="0.5" style="26" customWidth="1"/>
    <col min="761" max="761" width="31.25" style="26" customWidth="1"/>
    <col min="762" max="762" width="33.5" style="26" customWidth="1"/>
    <col min="763" max="763" width="2.625" style="26" customWidth="1"/>
    <col min="764" max="767" width="10.375" style="26" customWidth="1"/>
    <col min="768" max="770" width="0" style="26" hidden="1" customWidth="1"/>
    <col min="771" max="773" width="12.25" style="26" bestFit="1" customWidth="1"/>
    <col min="774" max="774" width="9" style="26"/>
    <col min="775" max="775" width="11" style="26" bestFit="1" customWidth="1"/>
    <col min="776" max="1008" width="9" style="26"/>
    <col min="1009" max="1015" width="1" style="26" customWidth="1"/>
    <col min="1016" max="1016" width="0.5" style="26" customWidth="1"/>
    <col min="1017" max="1017" width="31.25" style="26" customWidth="1"/>
    <col min="1018" max="1018" width="33.5" style="26" customWidth="1"/>
    <col min="1019" max="1019" width="2.625" style="26" customWidth="1"/>
    <col min="1020" max="1023" width="10.375" style="26" customWidth="1"/>
    <col min="1024" max="1026" width="0" style="26" hidden="1" customWidth="1"/>
    <col min="1027" max="1029" width="12.25" style="26" bestFit="1" customWidth="1"/>
    <col min="1030" max="1030" width="9" style="26"/>
    <col min="1031" max="1031" width="11" style="26" bestFit="1" customWidth="1"/>
    <col min="1032" max="1264" width="9" style="26"/>
    <col min="1265" max="1271" width="1" style="26" customWidth="1"/>
    <col min="1272" max="1272" width="0.5" style="26" customWidth="1"/>
    <col min="1273" max="1273" width="31.25" style="26" customWidth="1"/>
    <col min="1274" max="1274" width="33.5" style="26" customWidth="1"/>
    <col min="1275" max="1275" width="2.625" style="26" customWidth="1"/>
    <col min="1276" max="1279" width="10.375" style="26" customWidth="1"/>
    <col min="1280" max="1282" width="0" style="26" hidden="1" customWidth="1"/>
    <col min="1283" max="1285" width="12.25" style="26" bestFit="1" customWidth="1"/>
    <col min="1286" max="1286" width="9" style="26"/>
    <col min="1287" max="1287" width="11" style="26" bestFit="1" customWidth="1"/>
    <col min="1288" max="1520" width="9" style="26"/>
    <col min="1521" max="1527" width="1" style="26" customWidth="1"/>
    <col min="1528" max="1528" width="0.5" style="26" customWidth="1"/>
    <col min="1529" max="1529" width="31.25" style="26" customWidth="1"/>
    <col min="1530" max="1530" width="33.5" style="26" customWidth="1"/>
    <col min="1531" max="1531" width="2.625" style="26" customWidth="1"/>
    <col min="1532" max="1535" width="10.375" style="26" customWidth="1"/>
    <col min="1536" max="1538" width="0" style="26" hidden="1" customWidth="1"/>
    <col min="1539" max="1541" width="12.25" style="26" bestFit="1" customWidth="1"/>
    <col min="1542" max="1542" width="9" style="26"/>
    <col min="1543" max="1543" width="11" style="26" bestFit="1" customWidth="1"/>
    <col min="1544" max="1776" width="9" style="26"/>
    <col min="1777" max="1783" width="1" style="26" customWidth="1"/>
    <col min="1784" max="1784" width="0.5" style="26" customWidth="1"/>
    <col min="1785" max="1785" width="31.25" style="26" customWidth="1"/>
    <col min="1786" max="1786" width="33.5" style="26" customWidth="1"/>
    <col min="1787" max="1787" width="2.625" style="26" customWidth="1"/>
    <col min="1788" max="1791" width="10.375" style="26" customWidth="1"/>
    <col min="1792" max="1794" width="0" style="26" hidden="1" customWidth="1"/>
    <col min="1795" max="1797" width="12.25" style="26" bestFit="1" customWidth="1"/>
    <col min="1798" max="1798" width="9" style="26"/>
    <col min="1799" max="1799" width="11" style="26" bestFit="1" customWidth="1"/>
    <col min="1800" max="2032" width="9" style="26"/>
    <col min="2033" max="2039" width="1" style="26" customWidth="1"/>
    <col min="2040" max="2040" width="0.5" style="26" customWidth="1"/>
    <col min="2041" max="2041" width="31.25" style="26" customWidth="1"/>
    <col min="2042" max="2042" width="33.5" style="26" customWidth="1"/>
    <col min="2043" max="2043" width="2.625" style="26" customWidth="1"/>
    <col min="2044" max="2047" width="10.375" style="26" customWidth="1"/>
    <col min="2048" max="2050" width="0" style="26" hidden="1" customWidth="1"/>
    <col min="2051" max="2053" width="12.25" style="26" bestFit="1" customWidth="1"/>
    <col min="2054" max="2054" width="9" style="26"/>
    <col min="2055" max="2055" width="11" style="26" bestFit="1" customWidth="1"/>
    <col min="2056" max="2288" width="9" style="26"/>
    <col min="2289" max="2295" width="1" style="26" customWidth="1"/>
    <col min="2296" max="2296" width="0.5" style="26" customWidth="1"/>
    <col min="2297" max="2297" width="31.25" style="26" customWidth="1"/>
    <col min="2298" max="2298" width="33.5" style="26" customWidth="1"/>
    <col min="2299" max="2299" width="2.625" style="26" customWidth="1"/>
    <col min="2300" max="2303" width="10.375" style="26" customWidth="1"/>
    <col min="2304" max="2306" width="0" style="26" hidden="1" customWidth="1"/>
    <col min="2307" max="2309" width="12.25" style="26" bestFit="1" customWidth="1"/>
    <col min="2310" max="2310" width="9" style="26"/>
    <col min="2311" max="2311" width="11" style="26" bestFit="1" customWidth="1"/>
    <col min="2312" max="2544" width="9" style="26"/>
    <col min="2545" max="2551" width="1" style="26" customWidth="1"/>
    <col min="2552" max="2552" width="0.5" style="26" customWidth="1"/>
    <col min="2553" max="2553" width="31.25" style="26" customWidth="1"/>
    <col min="2554" max="2554" width="33.5" style="26" customWidth="1"/>
    <col min="2555" max="2555" width="2.625" style="26" customWidth="1"/>
    <col min="2556" max="2559" width="10.375" style="26" customWidth="1"/>
    <col min="2560" max="2562" width="0" style="26" hidden="1" customWidth="1"/>
    <col min="2563" max="2565" width="12.25" style="26" bestFit="1" customWidth="1"/>
    <col min="2566" max="2566" width="9" style="26"/>
    <col min="2567" max="2567" width="11" style="26" bestFit="1" customWidth="1"/>
    <col min="2568" max="2800" width="9" style="26"/>
    <col min="2801" max="2807" width="1" style="26" customWidth="1"/>
    <col min="2808" max="2808" width="0.5" style="26" customWidth="1"/>
    <col min="2809" max="2809" width="31.25" style="26" customWidth="1"/>
    <col min="2810" max="2810" width="33.5" style="26" customWidth="1"/>
    <col min="2811" max="2811" width="2.625" style="26" customWidth="1"/>
    <col min="2812" max="2815" width="10.375" style="26" customWidth="1"/>
    <col min="2816" max="2818" width="0" style="26" hidden="1" customWidth="1"/>
    <col min="2819" max="2821" width="12.25" style="26" bestFit="1" customWidth="1"/>
    <col min="2822" max="2822" width="9" style="26"/>
    <col min="2823" max="2823" width="11" style="26" bestFit="1" customWidth="1"/>
    <col min="2824" max="3056" width="9" style="26"/>
    <col min="3057" max="3063" width="1" style="26" customWidth="1"/>
    <col min="3064" max="3064" width="0.5" style="26" customWidth="1"/>
    <col min="3065" max="3065" width="31.25" style="26" customWidth="1"/>
    <col min="3066" max="3066" width="33.5" style="26" customWidth="1"/>
    <col min="3067" max="3067" width="2.625" style="26" customWidth="1"/>
    <col min="3068" max="3071" width="10.375" style="26" customWidth="1"/>
    <col min="3072" max="3074" width="0" style="26" hidden="1" customWidth="1"/>
    <col min="3075" max="3077" width="12.25" style="26" bestFit="1" customWidth="1"/>
    <col min="3078" max="3078" width="9" style="26"/>
    <col min="3079" max="3079" width="11" style="26" bestFit="1" customWidth="1"/>
    <col min="3080" max="3312" width="9" style="26"/>
    <col min="3313" max="3319" width="1" style="26" customWidth="1"/>
    <col min="3320" max="3320" width="0.5" style="26" customWidth="1"/>
    <col min="3321" max="3321" width="31.25" style="26" customWidth="1"/>
    <col min="3322" max="3322" width="33.5" style="26" customWidth="1"/>
    <col min="3323" max="3323" width="2.625" style="26" customWidth="1"/>
    <col min="3324" max="3327" width="10.375" style="26" customWidth="1"/>
    <col min="3328" max="3330" width="0" style="26" hidden="1" customWidth="1"/>
    <col min="3331" max="3333" width="12.25" style="26" bestFit="1" customWidth="1"/>
    <col min="3334" max="3334" width="9" style="26"/>
    <col min="3335" max="3335" width="11" style="26" bestFit="1" customWidth="1"/>
    <col min="3336" max="3568" width="9" style="26"/>
    <col min="3569" max="3575" width="1" style="26" customWidth="1"/>
    <col min="3576" max="3576" width="0.5" style="26" customWidth="1"/>
    <col min="3577" max="3577" width="31.25" style="26" customWidth="1"/>
    <col min="3578" max="3578" width="33.5" style="26" customWidth="1"/>
    <col min="3579" max="3579" width="2.625" style="26" customWidth="1"/>
    <col min="3580" max="3583" width="10.375" style="26" customWidth="1"/>
    <col min="3584" max="3586" width="0" style="26" hidden="1" customWidth="1"/>
    <col min="3587" max="3589" width="12.25" style="26" bestFit="1" customWidth="1"/>
    <col min="3590" max="3590" width="9" style="26"/>
    <col min="3591" max="3591" width="11" style="26" bestFit="1" customWidth="1"/>
    <col min="3592" max="3824" width="9" style="26"/>
    <col min="3825" max="3831" width="1" style="26" customWidth="1"/>
    <col min="3832" max="3832" width="0.5" style="26" customWidth="1"/>
    <col min="3833" max="3833" width="31.25" style="26" customWidth="1"/>
    <col min="3834" max="3834" width="33.5" style="26" customWidth="1"/>
    <col min="3835" max="3835" width="2.625" style="26" customWidth="1"/>
    <col min="3836" max="3839" width="10.375" style="26" customWidth="1"/>
    <col min="3840" max="3842" width="0" style="26" hidden="1" customWidth="1"/>
    <col min="3843" max="3845" width="12.25" style="26" bestFit="1" customWidth="1"/>
    <col min="3846" max="3846" width="9" style="26"/>
    <col min="3847" max="3847" width="11" style="26" bestFit="1" customWidth="1"/>
    <col min="3848" max="4080" width="9" style="26"/>
    <col min="4081" max="4087" width="1" style="26" customWidth="1"/>
    <col min="4088" max="4088" width="0.5" style="26" customWidth="1"/>
    <col min="4089" max="4089" width="31.25" style="26" customWidth="1"/>
    <col min="4090" max="4090" width="33.5" style="26" customWidth="1"/>
    <col min="4091" max="4091" width="2.625" style="26" customWidth="1"/>
    <col min="4092" max="4095" width="10.375" style="26" customWidth="1"/>
    <col min="4096" max="4098" width="0" style="26" hidden="1" customWidth="1"/>
    <col min="4099" max="4101" width="12.25" style="26" bestFit="1" customWidth="1"/>
    <col min="4102" max="4102" width="9" style="26"/>
    <col min="4103" max="4103" width="11" style="26" bestFit="1" customWidth="1"/>
    <col min="4104" max="4336" width="9" style="26"/>
    <col min="4337" max="4343" width="1" style="26" customWidth="1"/>
    <col min="4344" max="4344" width="0.5" style="26" customWidth="1"/>
    <col min="4345" max="4345" width="31.25" style="26" customWidth="1"/>
    <col min="4346" max="4346" width="33.5" style="26" customWidth="1"/>
    <col min="4347" max="4347" width="2.625" style="26" customWidth="1"/>
    <col min="4348" max="4351" width="10.375" style="26" customWidth="1"/>
    <col min="4352" max="4354" width="0" style="26" hidden="1" customWidth="1"/>
    <col min="4355" max="4357" width="12.25" style="26" bestFit="1" customWidth="1"/>
    <col min="4358" max="4358" width="9" style="26"/>
    <col min="4359" max="4359" width="11" style="26" bestFit="1" customWidth="1"/>
    <col min="4360" max="4592" width="9" style="26"/>
    <col min="4593" max="4599" width="1" style="26" customWidth="1"/>
    <col min="4600" max="4600" width="0.5" style="26" customWidth="1"/>
    <col min="4601" max="4601" width="31.25" style="26" customWidth="1"/>
    <col min="4602" max="4602" width="33.5" style="26" customWidth="1"/>
    <col min="4603" max="4603" width="2.625" style="26" customWidth="1"/>
    <col min="4604" max="4607" width="10.375" style="26" customWidth="1"/>
    <col min="4608" max="4610" width="0" style="26" hidden="1" customWidth="1"/>
    <col min="4611" max="4613" width="12.25" style="26" bestFit="1" customWidth="1"/>
    <col min="4614" max="4614" width="9" style="26"/>
    <col min="4615" max="4615" width="11" style="26" bestFit="1" customWidth="1"/>
    <col min="4616" max="4848" width="9" style="26"/>
    <col min="4849" max="4855" width="1" style="26" customWidth="1"/>
    <col min="4856" max="4856" width="0.5" style="26" customWidth="1"/>
    <col min="4857" max="4857" width="31.25" style="26" customWidth="1"/>
    <col min="4858" max="4858" width="33.5" style="26" customWidth="1"/>
    <col min="4859" max="4859" width="2.625" style="26" customWidth="1"/>
    <col min="4860" max="4863" width="10.375" style="26" customWidth="1"/>
    <col min="4864" max="4866" width="0" style="26" hidden="1" customWidth="1"/>
    <col min="4867" max="4869" width="12.25" style="26" bestFit="1" customWidth="1"/>
    <col min="4870" max="4870" width="9" style="26"/>
    <col min="4871" max="4871" width="11" style="26" bestFit="1" customWidth="1"/>
    <col min="4872" max="5104" width="9" style="26"/>
    <col min="5105" max="5111" width="1" style="26" customWidth="1"/>
    <col min="5112" max="5112" width="0.5" style="26" customWidth="1"/>
    <col min="5113" max="5113" width="31.25" style="26" customWidth="1"/>
    <col min="5114" max="5114" width="33.5" style="26" customWidth="1"/>
    <col min="5115" max="5115" width="2.625" style="26" customWidth="1"/>
    <col min="5116" max="5119" width="10.375" style="26" customWidth="1"/>
    <col min="5120" max="5122" width="0" style="26" hidden="1" customWidth="1"/>
    <col min="5123" max="5125" width="12.25" style="26" bestFit="1" customWidth="1"/>
    <col min="5126" max="5126" width="9" style="26"/>
    <col min="5127" max="5127" width="11" style="26" bestFit="1" customWidth="1"/>
    <col min="5128" max="5360" width="9" style="26"/>
    <col min="5361" max="5367" width="1" style="26" customWidth="1"/>
    <col min="5368" max="5368" width="0.5" style="26" customWidth="1"/>
    <col min="5369" max="5369" width="31.25" style="26" customWidth="1"/>
    <col min="5370" max="5370" width="33.5" style="26" customWidth="1"/>
    <col min="5371" max="5371" width="2.625" style="26" customWidth="1"/>
    <col min="5372" max="5375" width="10.375" style="26" customWidth="1"/>
    <col min="5376" max="5378" width="0" style="26" hidden="1" customWidth="1"/>
    <col min="5379" max="5381" width="12.25" style="26" bestFit="1" customWidth="1"/>
    <col min="5382" max="5382" width="9" style="26"/>
    <col min="5383" max="5383" width="11" style="26" bestFit="1" customWidth="1"/>
    <col min="5384" max="5616" width="9" style="26"/>
    <col min="5617" max="5623" width="1" style="26" customWidth="1"/>
    <col min="5624" max="5624" width="0.5" style="26" customWidth="1"/>
    <col min="5625" max="5625" width="31.25" style="26" customWidth="1"/>
    <col min="5626" max="5626" width="33.5" style="26" customWidth="1"/>
    <col min="5627" max="5627" width="2.625" style="26" customWidth="1"/>
    <col min="5628" max="5631" width="10.375" style="26" customWidth="1"/>
    <col min="5632" max="5634" width="0" style="26" hidden="1" customWidth="1"/>
    <col min="5635" max="5637" width="12.25" style="26" bestFit="1" customWidth="1"/>
    <col min="5638" max="5638" width="9" style="26"/>
    <col min="5639" max="5639" width="11" style="26" bestFit="1" customWidth="1"/>
    <col min="5640" max="5872" width="9" style="26"/>
    <col min="5873" max="5879" width="1" style="26" customWidth="1"/>
    <col min="5880" max="5880" width="0.5" style="26" customWidth="1"/>
    <col min="5881" max="5881" width="31.25" style="26" customWidth="1"/>
    <col min="5882" max="5882" width="33.5" style="26" customWidth="1"/>
    <col min="5883" max="5883" width="2.625" style="26" customWidth="1"/>
    <col min="5884" max="5887" width="10.375" style="26" customWidth="1"/>
    <col min="5888" max="5890" width="0" style="26" hidden="1" customWidth="1"/>
    <col min="5891" max="5893" width="12.25" style="26" bestFit="1" customWidth="1"/>
    <col min="5894" max="5894" width="9" style="26"/>
    <col min="5895" max="5895" width="11" style="26" bestFit="1" customWidth="1"/>
    <col min="5896" max="6128" width="9" style="26"/>
    <col min="6129" max="6135" width="1" style="26" customWidth="1"/>
    <col min="6136" max="6136" width="0.5" style="26" customWidth="1"/>
    <col min="6137" max="6137" width="31.25" style="26" customWidth="1"/>
    <col min="6138" max="6138" width="33.5" style="26" customWidth="1"/>
    <col min="6139" max="6139" width="2.625" style="26" customWidth="1"/>
    <col min="6140" max="6143" width="10.375" style="26" customWidth="1"/>
    <col min="6144" max="6146" width="0" style="26" hidden="1" customWidth="1"/>
    <col min="6147" max="6149" width="12.25" style="26" bestFit="1" customWidth="1"/>
    <col min="6150" max="6150" width="9" style="26"/>
    <col min="6151" max="6151" width="11" style="26" bestFit="1" customWidth="1"/>
    <col min="6152" max="6384" width="9" style="26"/>
    <col min="6385" max="6391" width="1" style="26" customWidth="1"/>
    <col min="6392" max="6392" width="0.5" style="26" customWidth="1"/>
    <col min="6393" max="6393" width="31.25" style="26" customWidth="1"/>
    <col min="6394" max="6394" width="33.5" style="26" customWidth="1"/>
    <col min="6395" max="6395" width="2.625" style="26" customWidth="1"/>
    <col min="6396" max="6399" width="10.375" style="26" customWidth="1"/>
    <col min="6400" max="6402" width="0" style="26" hidden="1" customWidth="1"/>
    <col min="6403" max="6405" width="12.25" style="26" bestFit="1" customWidth="1"/>
    <col min="6406" max="6406" width="9" style="26"/>
    <col min="6407" max="6407" width="11" style="26" bestFit="1" customWidth="1"/>
    <col min="6408" max="6640" width="9" style="26"/>
    <col min="6641" max="6647" width="1" style="26" customWidth="1"/>
    <col min="6648" max="6648" width="0.5" style="26" customWidth="1"/>
    <col min="6649" max="6649" width="31.25" style="26" customWidth="1"/>
    <col min="6650" max="6650" width="33.5" style="26" customWidth="1"/>
    <col min="6651" max="6651" width="2.625" style="26" customWidth="1"/>
    <col min="6652" max="6655" width="10.375" style="26" customWidth="1"/>
    <col min="6656" max="6658" width="0" style="26" hidden="1" customWidth="1"/>
    <col min="6659" max="6661" width="12.25" style="26" bestFit="1" customWidth="1"/>
    <col min="6662" max="6662" width="9" style="26"/>
    <col min="6663" max="6663" width="11" style="26" bestFit="1" customWidth="1"/>
    <col min="6664" max="6896" width="9" style="26"/>
    <col min="6897" max="6903" width="1" style="26" customWidth="1"/>
    <col min="6904" max="6904" width="0.5" style="26" customWidth="1"/>
    <col min="6905" max="6905" width="31.25" style="26" customWidth="1"/>
    <col min="6906" max="6906" width="33.5" style="26" customWidth="1"/>
    <col min="6907" max="6907" width="2.625" style="26" customWidth="1"/>
    <col min="6908" max="6911" width="10.375" style="26" customWidth="1"/>
    <col min="6912" max="6914" width="0" style="26" hidden="1" customWidth="1"/>
    <col min="6915" max="6917" width="12.25" style="26" bestFit="1" customWidth="1"/>
    <col min="6918" max="6918" width="9" style="26"/>
    <col min="6919" max="6919" width="11" style="26" bestFit="1" customWidth="1"/>
    <col min="6920" max="7152" width="9" style="26"/>
    <col min="7153" max="7159" width="1" style="26" customWidth="1"/>
    <col min="7160" max="7160" width="0.5" style="26" customWidth="1"/>
    <col min="7161" max="7161" width="31.25" style="26" customWidth="1"/>
    <col min="7162" max="7162" width="33.5" style="26" customWidth="1"/>
    <col min="7163" max="7163" width="2.625" style="26" customWidth="1"/>
    <col min="7164" max="7167" width="10.375" style="26" customWidth="1"/>
    <col min="7168" max="7170" width="0" style="26" hidden="1" customWidth="1"/>
    <col min="7171" max="7173" width="12.25" style="26" bestFit="1" customWidth="1"/>
    <col min="7174" max="7174" width="9" style="26"/>
    <col min="7175" max="7175" width="11" style="26" bestFit="1" customWidth="1"/>
    <col min="7176" max="7408" width="9" style="26"/>
    <col min="7409" max="7415" width="1" style="26" customWidth="1"/>
    <col min="7416" max="7416" width="0.5" style="26" customWidth="1"/>
    <col min="7417" max="7417" width="31.25" style="26" customWidth="1"/>
    <col min="7418" max="7418" width="33.5" style="26" customWidth="1"/>
    <col min="7419" max="7419" width="2.625" style="26" customWidth="1"/>
    <col min="7420" max="7423" width="10.375" style="26" customWidth="1"/>
    <col min="7424" max="7426" width="0" style="26" hidden="1" customWidth="1"/>
    <col min="7427" max="7429" width="12.25" style="26" bestFit="1" customWidth="1"/>
    <col min="7430" max="7430" width="9" style="26"/>
    <col min="7431" max="7431" width="11" style="26" bestFit="1" customWidth="1"/>
    <col min="7432" max="7664" width="9" style="26"/>
    <col min="7665" max="7671" width="1" style="26" customWidth="1"/>
    <col min="7672" max="7672" width="0.5" style="26" customWidth="1"/>
    <col min="7673" max="7673" width="31.25" style="26" customWidth="1"/>
    <col min="7674" max="7674" width="33.5" style="26" customWidth="1"/>
    <col min="7675" max="7675" width="2.625" style="26" customWidth="1"/>
    <col min="7676" max="7679" width="10.375" style="26" customWidth="1"/>
    <col min="7680" max="7682" width="0" style="26" hidden="1" customWidth="1"/>
    <col min="7683" max="7685" width="12.25" style="26" bestFit="1" customWidth="1"/>
    <col min="7686" max="7686" width="9" style="26"/>
    <col min="7687" max="7687" width="11" style="26" bestFit="1" customWidth="1"/>
    <col min="7688" max="7920" width="9" style="26"/>
    <col min="7921" max="7927" width="1" style="26" customWidth="1"/>
    <col min="7928" max="7928" width="0.5" style="26" customWidth="1"/>
    <col min="7929" max="7929" width="31.25" style="26" customWidth="1"/>
    <col min="7930" max="7930" width="33.5" style="26" customWidth="1"/>
    <col min="7931" max="7931" width="2.625" style="26" customWidth="1"/>
    <col min="7932" max="7935" width="10.375" style="26" customWidth="1"/>
    <col min="7936" max="7938" width="0" style="26" hidden="1" customWidth="1"/>
    <col min="7939" max="7941" width="12.25" style="26" bestFit="1" customWidth="1"/>
    <col min="7942" max="7942" width="9" style="26"/>
    <col min="7943" max="7943" width="11" style="26" bestFit="1" customWidth="1"/>
    <col min="7944" max="8176" width="9" style="26"/>
    <col min="8177" max="8183" width="1" style="26" customWidth="1"/>
    <col min="8184" max="8184" width="0.5" style="26" customWidth="1"/>
    <col min="8185" max="8185" width="31.25" style="26" customWidth="1"/>
    <col min="8186" max="8186" width="33.5" style="26" customWidth="1"/>
    <col min="8187" max="8187" width="2.625" style="26" customWidth="1"/>
    <col min="8188" max="8191" width="10.375" style="26" customWidth="1"/>
    <col min="8192" max="8194" width="0" style="26" hidden="1" customWidth="1"/>
    <col min="8195" max="8197" width="12.25" style="26" bestFit="1" customWidth="1"/>
    <col min="8198" max="8198" width="9" style="26"/>
    <col min="8199" max="8199" width="11" style="26" bestFit="1" customWidth="1"/>
    <col min="8200" max="8432" width="9" style="26"/>
    <col min="8433" max="8439" width="1" style="26" customWidth="1"/>
    <col min="8440" max="8440" width="0.5" style="26" customWidth="1"/>
    <col min="8441" max="8441" width="31.25" style="26" customWidth="1"/>
    <col min="8442" max="8442" width="33.5" style="26" customWidth="1"/>
    <col min="8443" max="8443" width="2.625" style="26" customWidth="1"/>
    <col min="8444" max="8447" width="10.375" style="26" customWidth="1"/>
    <col min="8448" max="8450" width="0" style="26" hidden="1" customWidth="1"/>
    <col min="8451" max="8453" width="12.25" style="26" bestFit="1" customWidth="1"/>
    <col min="8454" max="8454" width="9" style="26"/>
    <col min="8455" max="8455" width="11" style="26" bestFit="1" customWidth="1"/>
    <col min="8456" max="8688" width="9" style="26"/>
    <col min="8689" max="8695" width="1" style="26" customWidth="1"/>
    <col min="8696" max="8696" width="0.5" style="26" customWidth="1"/>
    <col min="8697" max="8697" width="31.25" style="26" customWidth="1"/>
    <col min="8698" max="8698" width="33.5" style="26" customWidth="1"/>
    <col min="8699" max="8699" width="2.625" style="26" customWidth="1"/>
    <col min="8700" max="8703" width="10.375" style="26" customWidth="1"/>
    <col min="8704" max="8706" width="0" style="26" hidden="1" customWidth="1"/>
    <col min="8707" max="8709" width="12.25" style="26" bestFit="1" customWidth="1"/>
    <col min="8710" max="8710" width="9" style="26"/>
    <col min="8711" max="8711" width="11" style="26" bestFit="1" customWidth="1"/>
    <col min="8712" max="8944" width="9" style="26"/>
    <col min="8945" max="8951" width="1" style="26" customWidth="1"/>
    <col min="8952" max="8952" width="0.5" style="26" customWidth="1"/>
    <col min="8953" max="8953" width="31.25" style="26" customWidth="1"/>
    <col min="8954" max="8954" width="33.5" style="26" customWidth="1"/>
    <col min="8955" max="8955" width="2.625" style="26" customWidth="1"/>
    <col min="8956" max="8959" width="10.375" style="26" customWidth="1"/>
    <col min="8960" max="8962" width="0" style="26" hidden="1" customWidth="1"/>
    <col min="8963" max="8965" width="12.25" style="26" bestFit="1" customWidth="1"/>
    <col min="8966" max="8966" width="9" style="26"/>
    <col min="8967" max="8967" width="11" style="26" bestFit="1" customWidth="1"/>
    <col min="8968" max="9200" width="9" style="26"/>
    <col min="9201" max="9207" width="1" style="26" customWidth="1"/>
    <col min="9208" max="9208" width="0.5" style="26" customWidth="1"/>
    <col min="9209" max="9209" width="31.25" style="26" customWidth="1"/>
    <col min="9210" max="9210" width="33.5" style="26" customWidth="1"/>
    <col min="9211" max="9211" width="2.625" style="26" customWidth="1"/>
    <col min="9212" max="9215" width="10.375" style="26" customWidth="1"/>
    <col min="9216" max="9218" width="0" style="26" hidden="1" customWidth="1"/>
    <col min="9219" max="9221" width="12.25" style="26" bestFit="1" customWidth="1"/>
    <col min="9222" max="9222" width="9" style="26"/>
    <col min="9223" max="9223" width="11" style="26" bestFit="1" customWidth="1"/>
    <col min="9224" max="9456" width="9" style="26"/>
    <col min="9457" max="9463" width="1" style="26" customWidth="1"/>
    <col min="9464" max="9464" width="0.5" style="26" customWidth="1"/>
    <col min="9465" max="9465" width="31.25" style="26" customWidth="1"/>
    <col min="9466" max="9466" width="33.5" style="26" customWidth="1"/>
    <col min="9467" max="9467" width="2.625" style="26" customWidth="1"/>
    <col min="9468" max="9471" width="10.375" style="26" customWidth="1"/>
    <col min="9472" max="9474" width="0" style="26" hidden="1" customWidth="1"/>
    <col min="9475" max="9477" width="12.25" style="26" bestFit="1" customWidth="1"/>
    <col min="9478" max="9478" width="9" style="26"/>
    <col min="9479" max="9479" width="11" style="26" bestFit="1" customWidth="1"/>
    <col min="9480" max="9712" width="9" style="26"/>
    <col min="9713" max="9719" width="1" style="26" customWidth="1"/>
    <col min="9720" max="9720" width="0.5" style="26" customWidth="1"/>
    <col min="9721" max="9721" width="31.25" style="26" customWidth="1"/>
    <col min="9722" max="9722" width="33.5" style="26" customWidth="1"/>
    <col min="9723" max="9723" width="2.625" style="26" customWidth="1"/>
    <col min="9724" max="9727" width="10.375" style="26" customWidth="1"/>
    <col min="9728" max="9730" width="0" style="26" hidden="1" customWidth="1"/>
    <col min="9731" max="9733" width="12.25" style="26" bestFit="1" customWidth="1"/>
    <col min="9734" max="9734" width="9" style="26"/>
    <col min="9735" max="9735" width="11" style="26" bestFit="1" customWidth="1"/>
    <col min="9736" max="9968" width="9" style="26"/>
    <col min="9969" max="9975" width="1" style="26" customWidth="1"/>
    <col min="9976" max="9976" width="0.5" style="26" customWidth="1"/>
    <col min="9977" max="9977" width="31.25" style="26" customWidth="1"/>
    <col min="9978" max="9978" width="33.5" style="26" customWidth="1"/>
    <col min="9979" max="9979" width="2.625" style="26" customWidth="1"/>
    <col min="9980" max="9983" width="10.375" style="26" customWidth="1"/>
    <col min="9984" max="9986" width="0" style="26" hidden="1" customWidth="1"/>
    <col min="9987" max="9989" width="12.25" style="26" bestFit="1" customWidth="1"/>
    <col min="9990" max="9990" width="9" style="26"/>
    <col min="9991" max="9991" width="11" style="26" bestFit="1" customWidth="1"/>
    <col min="9992" max="10224" width="9" style="26"/>
    <col min="10225" max="10231" width="1" style="26" customWidth="1"/>
    <col min="10232" max="10232" width="0.5" style="26" customWidth="1"/>
    <col min="10233" max="10233" width="31.25" style="26" customWidth="1"/>
    <col min="10234" max="10234" width="33.5" style="26" customWidth="1"/>
    <col min="10235" max="10235" width="2.625" style="26" customWidth="1"/>
    <col min="10236" max="10239" width="10.375" style="26" customWidth="1"/>
    <col min="10240" max="10242" width="0" style="26" hidden="1" customWidth="1"/>
    <col min="10243" max="10245" width="12.25" style="26" bestFit="1" customWidth="1"/>
    <col min="10246" max="10246" width="9" style="26"/>
    <col min="10247" max="10247" width="11" style="26" bestFit="1" customWidth="1"/>
    <col min="10248" max="10480" width="9" style="26"/>
    <col min="10481" max="10487" width="1" style="26" customWidth="1"/>
    <col min="10488" max="10488" width="0.5" style="26" customWidth="1"/>
    <col min="10489" max="10489" width="31.25" style="26" customWidth="1"/>
    <col min="10490" max="10490" width="33.5" style="26" customWidth="1"/>
    <col min="10491" max="10491" width="2.625" style="26" customWidth="1"/>
    <col min="10492" max="10495" width="10.375" style="26" customWidth="1"/>
    <col min="10496" max="10498" width="0" style="26" hidden="1" customWidth="1"/>
    <col min="10499" max="10501" width="12.25" style="26" bestFit="1" customWidth="1"/>
    <col min="10502" max="10502" width="9" style="26"/>
    <col min="10503" max="10503" width="11" style="26" bestFit="1" customWidth="1"/>
    <col min="10504" max="10736" width="9" style="26"/>
    <col min="10737" max="10743" width="1" style="26" customWidth="1"/>
    <col min="10744" max="10744" width="0.5" style="26" customWidth="1"/>
    <col min="10745" max="10745" width="31.25" style="26" customWidth="1"/>
    <col min="10746" max="10746" width="33.5" style="26" customWidth="1"/>
    <col min="10747" max="10747" width="2.625" style="26" customWidth="1"/>
    <col min="10748" max="10751" width="10.375" style="26" customWidth="1"/>
    <col min="10752" max="10754" width="0" style="26" hidden="1" customWidth="1"/>
    <col min="10755" max="10757" width="12.25" style="26" bestFit="1" customWidth="1"/>
    <col min="10758" max="10758" width="9" style="26"/>
    <col min="10759" max="10759" width="11" style="26" bestFit="1" customWidth="1"/>
    <col min="10760" max="10992" width="9" style="26"/>
    <col min="10993" max="10999" width="1" style="26" customWidth="1"/>
    <col min="11000" max="11000" width="0.5" style="26" customWidth="1"/>
    <col min="11001" max="11001" width="31.25" style="26" customWidth="1"/>
    <col min="11002" max="11002" width="33.5" style="26" customWidth="1"/>
    <col min="11003" max="11003" width="2.625" style="26" customWidth="1"/>
    <col min="11004" max="11007" width="10.375" style="26" customWidth="1"/>
    <col min="11008" max="11010" width="0" style="26" hidden="1" customWidth="1"/>
    <col min="11011" max="11013" width="12.25" style="26" bestFit="1" customWidth="1"/>
    <col min="11014" max="11014" width="9" style="26"/>
    <col min="11015" max="11015" width="11" style="26" bestFit="1" customWidth="1"/>
    <col min="11016" max="11248" width="9" style="26"/>
    <col min="11249" max="11255" width="1" style="26" customWidth="1"/>
    <col min="11256" max="11256" width="0.5" style="26" customWidth="1"/>
    <col min="11257" max="11257" width="31.25" style="26" customWidth="1"/>
    <col min="11258" max="11258" width="33.5" style="26" customWidth="1"/>
    <col min="11259" max="11259" width="2.625" style="26" customWidth="1"/>
    <col min="11260" max="11263" width="10.375" style="26" customWidth="1"/>
    <col min="11264" max="11266" width="0" style="26" hidden="1" customWidth="1"/>
    <col min="11267" max="11269" width="12.25" style="26" bestFit="1" customWidth="1"/>
    <col min="11270" max="11270" width="9" style="26"/>
    <col min="11271" max="11271" width="11" style="26" bestFit="1" customWidth="1"/>
    <col min="11272" max="11504" width="9" style="26"/>
    <col min="11505" max="11511" width="1" style="26" customWidth="1"/>
    <col min="11512" max="11512" width="0.5" style="26" customWidth="1"/>
    <col min="11513" max="11513" width="31.25" style="26" customWidth="1"/>
    <col min="11514" max="11514" width="33.5" style="26" customWidth="1"/>
    <col min="11515" max="11515" width="2.625" style="26" customWidth="1"/>
    <col min="11516" max="11519" width="10.375" style="26" customWidth="1"/>
    <col min="11520" max="11522" width="0" style="26" hidden="1" customWidth="1"/>
    <col min="11523" max="11525" width="12.25" style="26" bestFit="1" customWidth="1"/>
    <col min="11526" max="11526" width="9" style="26"/>
    <col min="11527" max="11527" width="11" style="26" bestFit="1" customWidth="1"/>
    <col min="11528" max="11760" width="9" style="26"/>
    <col min="11761" max="11767" width="1" style="26" customWidth="1"/>
    <col min="11768" max="11768" width="0.5" style="26" customWidth="1"/>
    <col min="11769" max="11769" width="31.25" style="26" customWidth="1"/>
    <col min="11770" max="11770" width="33.5" style="26" customWidth="1"/>
    <col min="11771" max="11771" width="2.625" style="26" customWidth="1"/>
    <col min="11772" max="11775" width="10.375" style="26" customWidth="1"/>
    <col min="11776" max="11778" width="0" style="26" hidden="1" customWidth="1"/>
    <col min="11779" max="11781" width="12.25" style="26" bestFit="1" customWidth="1"/>
    <col min="11782" max="11782" width="9" style="26"/>
    <col min="11783" max="11783" width="11" style="26" bestFit="1" customWidth="1"/>
    <col min="11784" max="12016" width="9" style="26"/>
    <col min="12017" max="12023" width="1" style="26" customWidth="1"/>
    <col min="12024" max="12024" width="0.5" style="26" customWidth="1"/>
    <col min="12025" max="12025" width="31.25" style="26" customWidth="1"/>
    <col min="12026" max="12026" width="33.5" style="26" customWidth="1"/>
    <col min="12027" max="12027" width="2.625" style="26" customWidth="1"/>
    <col min="12028" max="12031" width="10.375" style="26" customWidth="1"/>
    <col min="12032" max="12034" width="0" style="26" hidden="1" customWidth="1"/>
    <col min="12035" max="12037" width="12.25" style="26" bestFit="1" customWidth="1"/>
    <col min="12038" max="12038" width="9" style="26"/>
    <col min="12039" max="12039" width="11" style="26" bestFit="1" customWidth="1"/>
    <col min="12040" max="12272" width="9" style="26"/>
    <col min="12273" max="12279" width="1" style="26" customWidth="1"/>
    <col min="12280" max="12280" width="0.5" style="26" customWidth="1"/>
    <col min="12281" max="12281" width="31.25" style="26" customWidth="1"/>
    <col min="12282" max="12282" width="33.5" style="26" customWidth="1"/>
    <col min="12283" max="12283" width="2.625" style="26" customWidth="1"/>
    <col min="12284" max="12287" width="10.375" style="26" customWidth="1"/>
    <col min="12288" max="12290" width="0" style="26" hidden="1" customWidth="1"/>
    <col min="12291" max="12293" width="12.25" style="26" bestFit="1" customWidth="1"/>
    <col min="12294" max="12294" width="9" style="26"/>
    <col min="12295" max="12295" width="11" style="26" bestFit="1" customWidth="1"/>
    <col min="12296" max="12528" width="9" style="26"/>
    <col min="12529" max="12535" width="1" style="26" customWidth="1"/>
    <col min="12536" max="12536" width="0.5" style="26" customWidth="1"/>
    <col min="12537" max="12537" width="31.25" style="26" customWidth="1"/>
    <col min="12538" max="12538" width="33.5" style="26" customWidth="1"/>
    <col min="12539" max="12539" width="2.625" style="26" customWidth="1"/>
    <col min="12540" max="12543" width="10.375" style="26" customWidth="1"/>
    <col min="12544" max="12546" width="0" style="26" hidden="1" customWidth="1"/>
    <col min="12547" max="12549" width="12.25" style="26" bestFit="1" customWidth="1"/>
    <col min="12550" max="12550" width="9" style="26"/>
    <col min="12551" max="12551" width="11" style="26" bestFit="1" customWidth="1"/>
    <col min="12552" max="12784" width="9" style="26"/>
    <col min="12785" max="12791" width="1" style="26" customWidth="1"/>
    <col min="12792" max="12792" width="0.5" style="26" customWidth="1"/>
    <col min="12793" max="12793" width="31.25" style="26" customWidth="1"/>
    <col min="12794" max="12794" width="33.5" style="26" customWidth="1"/>
    <col min="12795" max="12795" width="2.625" style="26" customWidth="1"/>
    <col min="12796" max="12799" width="10.375" style="26" customWidth="1"/>
    <col min="12800" max="12802" width="0" style="26" hidden="1" customWidth="1"/>
    <col min="12803" max="12805" width="12.25" style="26" bestFit="1" customWidth="1"/>
    <col min="12806" max="12806" width="9" style="26"/>
    <col min="12807" max="12807" width="11" style="26" bestFit="1" customWidth="1"/>
    <col min="12808" max="13040" width="9" style="26"/>
    <col min="13041" max="13047" width="1" style="26" customWidth="1"/>
    <col min="13048" max="13048" width="0.5" style="26" customWidth="1"/>
    <col min="13049" max="13049" width="31.25" style="26" customWidth="1"/>
    <col min="13050" max="13050" width="33.5" style="26" customWidth="1"/>
    <col min="13051" max="13051" width="2.625" style="26" customWidth="1"/>
    <col min="13052" max="13055" width="10.375" style="26" customWidth="1"/>
    <col min="13056" max="13058" width="0" style="26" hidden="1" customWidth="1"/>
    <col min="13059" max="13061" width="12.25" style="26" bestFit="1" customWidth="1"/>
    <col min="13062" max="13062" width="9" style="26"/>
    <col min="13063" max="13063" width="11" style="26" bestFit="1" customWidth="1"/>
    <col min="13064" max="13296" width="9" style="26"/>
    <col min="13297" max="13303" width="1" style="26" customWidth="1"/>
    <col min="13304" max="13304" width="0.5" style="26" customWidth="1"/>
    <col min="13305" max="13305" width="31.25" style="26" customWidth="1"/>
    <col min="13306" max="13306" width="33.5" style="26" customWidth="1"/>
    <col min="13307" max="13307" width="2.625" style="26" customWidth="1"/>
    <col min="13308" max="13311" width="10.375" style="26" customWidth="1"/>
    <col min="13312" max="13314" width="0" style="26" hidden="1" customWidth="1"/>
    <col min="13315" max="13317" width="12.25" style="26" bestFit="1" customWidth="1"/>
    <col min="13318" max="13318" width="9" style="26"/>
    <col min="13319" max="13319" width="11" style="26" bestFit="1" customWidth="1"/>
    <col min="13320" max="13552" width="9" style="26"/>
    <col min="13553" max="13559" width="1" style="26" customWidth="1"/>
    <col min="13560" max="13560" width="0.5" style="26" customWidth="1"/>
    <col min="13561" max="13561" width="31.25" style="26" customWidth="1"/>
    <col min="13562" max="13562" width="33.5" style="26" customWidth="1"/>
    <col min="13563" max="13563" width="2.625" style="26" customWidth="1"/>
    <col min="13564" max="13567" width="10.375" style="26" customWidth="1"/>
    <col min="13568" max="13570" width="0" style="26" hidden="1" customWidth="1"/>
    <col min="13571" max="13573" width="12.25" style="26" bestFit="1" customWidth="1"/>
    <col min="13574" max="13574" width="9" style="26"/>
    <col min="13575" max="13575" width="11" style="26" bestFit="1" customWidth="1"/>
    <col min="13576" max="13808" width="9" style="26"/>
    <col min="13809" max="13815" width="1" style="26" customWidth="1"/>
    <col min="13816" max="13816" width="0.5" style="26" customWidth="1"/>
    <col min="13817" max="13817" width="31.25" style="26" customWidth="1"/>
    <col min="13818" max="13818" width="33.5" style="26" customWidth="1"/>
    <col min="13819" max="13819" width="2.625" style="26" customWidth="1"/>
    <col min="13820" max="13823" width="10.375" style="26" customWidth="1"/>
    <col min="13824" max="13826" width="0" style="26" hidden="1" customWidth="1"/>
    <col min="13827" max="13829" width="12.25" style="26" bestFit="1" customWidth="1"/>
    <col min="13830" max="13830" width="9" style="26"/>
    <col min="13831" max="13831" width="11" style="26" bestFit="1" customWidth="1"/>
    <col min="13832" max="14064" width="9" style="26"/>
    <col min="14065" max="14071" width="1" style="26" customWidth="1"/>
    <col min="14072" max="14072" width="0.5" style="26" customWidth="1"/>
    <col min="14073" max="14073" width="31.25" style="26" customWidth="1"/>
    <col min="14074" max="14074" width="33.5" style="26" customWidth="1"/>
    <col min="14075" max="14075" width="2.625" style="26" customWidth="1"/>
    <col min="14076" max="14079" width="10.375" style="26" customWidth="1"/>
    <col min="14080" max="14082" width="0" style="26" hidden="1" customWidth="1"/>
    <col min="14083" max="14085" width="12.25" style="26" bestFit="1" customWidth="1"/>
    <col min="14086" max="14086" width="9" style="26"/>
    <col min="14087" max="14087" width="11" style="26" bestFit="1" customWidth="1"/>
    <col min="14088" max="14320" width="9" style="26"/>
    <col min="14321" max="14327" width="1" style="26" customWidth="1"/>
    <col min="14328" max="14328" width="0.5" style="26" customWidth="1"/>
    <col min="14329" max="14329" width="31.25" style="26" customWidth="1"/>
    <col min="14330" max="14330" width="33.5" style="26" customWidth="1"/>
    <col min="14331" max="14331" width="2.625" style="26" customWidth="1"/>
    <col min="14332" max="14335" width="10.375" style="26" customWidth="1"/>
    <col min="14336" max="14338" width="0" style="26" hidden="1" customWidth="1"/>
    <col min="14339" max="14341" width="12.25" style="26" bestFit="1" customWidth="1"/>
    <col min="14342" max="14342" width="9" style="26"/>
    <col min="14343" max="14343" width="11" style="26" bestFit="1" customWidth="1"/>
    <col min="14344" max="14576" width="9" style="26"/>
    <col min="14577" max="14583" width="1" style="26" customWidth="1"/>
    <col min="14584" max="14584" width="0.5" style="26" customWidth="1"/>
    <col min="14585" max="14585" width="31.25" style="26" customWidth="1"/>
    <col min="14586" max="14586" width="33.5" style="26" customWidth="1"/>
    <col min="14587" max="14587" width="2.625" style="26" customWidth="1"/>
    <col min="14588" max="14591" width="10.375" style="26" customWidth="1"/>
    <col min="14592" max="14594" width="0" style="26" hidden="1" customWidth="1"/>
    <col min="14595" max="14597" width="12.25" style="26" bestFit="1" customWidth="1"/>
    <col min="14598" max="14598" width="9" style="26"/>
    <col min="14599" max="14599" width="11" style="26" bestFit="1" customWidth="1"/>
    <col min="14600" max="14832" width="9" style="26"/>
    <col min="14833" max="14839" width="1" style="26" customWidth="1"/>
    <col min="14840" max="14840" width="0.5" style="26" customWidth="1"/>
    <col min="14841" max="14841" width="31.25" style="26" customWidth="1"/>
    <col min="14842" max="14842" width="33.5" style="26" customWidth="1"/>
    <col min="14843" max="14843" width="2.625" style="26" customWidth="1"/>
    <col min="14844" max="14847" width="10.375" style="26" customWidth="1"/>
    <col min="14848" max="14850" width="0" style="26" hidden="1" customWidth="1"/>
    <col min="14851" max="14853" width="12.25" style="26" bestFit="1" customWidth="1"/>
    <col min="14854" max="14854" width="9" style="26"/>
    <col min="14855" max="14855" width="11" style="26" bestFit="1" customWidth="1"/>
    <col min="14856" max="15088" width="9" style="26"/>
    <col min="15089" max="15095" width="1" style="26" customWidth="1"/>
    <col min="15096" max="15096" width="0.5" style="26" customWidth="1"/>
    <col min="15097" max="15097" width="31.25" style="26" customWidth="1"/>
    <col min="15098" max="15098" width="33.5" style="26" customWidth="1"/>
    <col min="15099" max="15099" width="2.625" style="26" customWidth="1"/>
    <col min="15100" max="15103" width="10.375" style="26" customWidth="1"/>
    <col min="15104" max="15106" width="0" style="26" hidden="1" customWidth="1"/>
    <col min="15107" max="15109" width="12.25" style="26" bestFit="1" customWidth="1"/>
    <col min="15110" max="15110" width="9" style="26"/>
    <col min="15111" max="15111" width="11" style="26" bestFit="1" customWidth="1"/>
    <col min="15112" max="15344" width="9" style="26"/>
    <col min="15345" max="15351" width="1" style="26" customWidth="1"/>
    <col min="15352" max="15352" width="0.5" style="26" customWidth="1"/>
    <col min="15353" max="15353" width="31.25" style="26" customWidth="1"/>
    <col min="15354" max="15354" width="33.5" style="26" customWidth="1"/>
    <col min="15355" max="15355" width="2.625" style="26" customWidth="1"/>
    <col min="15356" max="15359" width="10.375" style="26" customWidth="1"/>
    <col min="15360" max="15362" width="0" style="26" hidden="1" customWidth="1"/>
    <col min="15363" max="15365" width="12.25" style="26" bestFit="1" customWidth="1"/>
    <col min="15366" max="15366" width="9" style="26"/>
    <col min="15367" max="15367" width="11" style="26" bestFit="1" customWidth="1"/>
    <col min="15368" max="15600" width="9" style="26"/>
    <col min="15601" max="15607" width="1" style="26" customWidth="1"/>
    <col min="15608" max="15608" width="0.5" style="26" customWidth="1"/>
    <col min="15609" max="15609" width="31.25" style="26" customWidth="1"/>
    <col min="15610" max="15610" width="33.5" style="26" customWidth="1"/>
    <col min="15611" max="15611" width="2.625" style="26" customWidth="1"/>
    <col min="15612" max="15615" width="10.375" style="26" customWidth="1"/>
    <col min="15616" max="15618" width="0" style="26" hidden="1" customWidth="1"/>
    <col min="15619" max="15621" width="12.25" style="26" bestFit="1" customWidth="1"/>
    <col min="15622" max="15622" width="9" style="26"/>
    <col min="15623" max="15623" width="11" style="26" bestFit="1" customWidth="1"/>
    <col min="15624" max="15856" width="9" style="26"/>
    <col min="15857" max="15863" width="1" style="26" customWidth="1"/>
    <col min="15864" max="15864" width="0.5" style="26" customWidth="1"/>
    <col min="15865" max="15865" width="31.25" style="26" customWidth="1"/>
    <col min="15866" max="15866" width="33.5" style="26" customWidth="1"/>
    <col min="15867" max="15867" width="2.625" style="26" customWidth="1"/>
    <col min="15868" max="15871" width="10.375" style="26" customWidth="1"/>
    <col min="15872" max="15874" width="0" style="26" hidden="1" customWidth="1"/>
    <col min="15875" max="15877" width="12.25" style="26" bestFit="1" customWidth="1"/>
    <col min="15878" max="15878" width="9" style="26"/>
    <col min="15879" max="15879" width="11" style="26" bestFit="1" customWidth="1"/>
    <col min="15880" max="16112" width="9" style="26"/>
    <col min="16113" max="16119" width="1" style="26" customWidth="1"/>
    <col min="16120" max="16120" width="0.5" style="26" customWidth="1"/>
    <col min="16121" max="16121" width="31.25" style="26" customWidth="1"/>
    <col min="16122" max="16122" width="33.5" style="26" customWidth="1"/>
    <col min="16123" max="16123" width="2.625" style="26" customWidth="1"/>
    <col min="16124" max="16127" width="10.375" style="26" customWidth="1"/>
    <col min="16128" max="16130" width="0" style="26" hidden="1" customWidth="1"/>
    <col min="16131" max="16133" width="12.25" style="26" bestFit="1" customWidth="1"/>
    <col min="16134" max="16134" width="9" style="26"/>
    <col min="16135" max="16135" width="11" style="26" bestFit="1" customWidth="1"/>
    <col min="16136" max="16384" width="9" style="26"/>
  </cols>
  <sheetData>
    <row r="1" spans="1:17" ht="14.45" customHeight="1">
      <c r="A1" s="413" t="s">
        <v>810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4"/>
      <c r="O1" s="414"/>
    </row>
    <row r="2" spans="1:17" ht="14.45" customHeight="1">
      <c r="A2" s="415" t="s">
        <v>604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6" t="s">
        <v>0</v>
      </c>
      <c r="O2" s="416"/>
    </row>
    <row r="3" spans="1:17" ht="14.45" customHeight="1">
      <c r="A3" s="417" t="s">
        <v>1</v>
      </c>
      <c r="B3" s="418"/>
      <c r="C3" s="418"/>
      <c r="D3" s="418"/>
      <c r="E3" s="418"/>
      <c r="F3" s="418"/>
      <c r="G3" s="418"/>
      <c r="H3" s="418"/>
      <c r="I3" s="418"/>
      <c r="J3" s="418"/>
      <c r="K3" s="418"/>
      <c r="L3" s="419"/>
      <c r="M3" s="420" t="s">
        <v>2</v>
      </c>
      <c r="N3" s="420" t="s">
        <v>3</v>
      </c>
      <c r="O3" s="420" t="s">
        <v>4</v>
      </c>
    </row>
    <row r="4" spans="1:17" ht="14.45" customHeight="1">
      <c r="A4" s="422" t="s">
        <v>5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1"/>
      <c r="M4" s="421"/>
      <c r="N4" s="421"/>
      <c r="O4" s="421"/>
    </row>
    <row r="5" spans="1:17" ht="14.45" customHeight="1">
      <c r="A5" s="409" t="s">
        <v>823</v>
      </c>
      <c r="B5" s="410"/>
      <c r="C5" s="410"/>
      <c r="D5" s="410"/>
      <c r="E5" s="410"/>
      <c r="F5" s="410"/>
      <c r="G5" s="410"/>
      <c r="H5" s="410"/>
      <c r="I5" s="410"/>
      <c r="J5" s="410"/>
      <c r="K5" s="410"/>
      <c r="L5" s="411"/>
      <c r="M5" s="1">
        <f>+M6+M585</f>
        <v>18256317</v>
      </c>
      <c r="N5" s="1">
        <f>+N6+N585</f>
        <v>16928284</v>
      </c>
      <c r="O5" s="1">
        <f>+O6+O585</f>
        <v>1328033</v>
      </c>
      <c r="P5" s="52"/>
    </row>
    <row r="6" spans="1:17" ht="17.25" customHeight="1">
      <c r="A6" s="412" t="s">
        <v>6</v>
      </c>
      <c r="B6" s="405"/>
      <c r="C6" s="405"/>
      <c r="D6" s="405"/>
      <c r="E6" s="405" t="s">
        <v>7</v>
      </c>
      <c r="F6" s="405"/>
      <c r="G6" s="405"/>
      <c r="H6" s="405"/>
      <c r="I6" s="405"/>
      <c r="J6" s="405"/>
      <c r="K6" s="405"/>
      <c r="L6" s="406"/>
      <c r="M6" s="1">
        <f>+M7+M580</f>
        <v>18248317</v>
      </c>
      <c r="N6" s="1">
        <f>+N7+N580</f>
        <v>16852879</v>
      </c>
      <c r="O6" s="1">
        <f>+O7+O580</f>
        <v>1395438</v>
      </c>
      <c r="P6" s="52"/>
    </row>
    <row r="7" spans="1:17" ht="17.25" customHeight="1">
      <c r="A7" s="2"/>
      <c r="B7" s="405" t="s">
        <v>8</v>
      </c>
      <c r="C7" s="405"/>
      <c r="D7" s="405"/>
      <c r="E7" s="405"/>
      <c r="F7" s="405" t="s">
        <v>9</v>
      </c>
      <c r="G7" s="405"/>
      <c r="H7" s="405"/>
      <c r="I7" s="405"/>
      <c r="J7" s="405"/>
      <c r="K7" s="405"/>
      <c r="L7" s="406"/>
      <c r="M7" s="1">
        <f>+M8</f>
        <v>18243317</v>
      </c>
      <c r="N7" s="1">
        <f>+N8</f>
        <v>16849879</v>
      </c>
      <c r="O7" s="1">
        <f>+O8</f>
        <v>1393438</v>
      </c>
      <c r="P7" s="52"/>
    </row>
    <row r="8" spans="1:17" ht="17.25" customHeight="1">
      <c r="A8" s="3"/>
      <c r="B8" s="4" t="s">
        <v>8</v>
      </c>
      <c r="C8" s="405" t="s">
        <v>10</v>
      </c>
      <c r="D8" s="405"/>
      <c r="E8" s="405"/>
      <c r="F8" s="405"/>
      <c r="G8" s="405" t="s">
        <v>11</v>
      </c>
      <c r="H8" s="405"/>
      <c r="I8" s="405"/>
      <c r="J8" s="405"/>
      <c r="K8" s="405"/>
      <c r="L8" s="406"/>
      <c r="M8" s="1">
        <f>+M9+M300+M530</f>
        <v>18243317</v>
      </c>
      <c r="N8" s="1">
        <f>+N9+N300+N530</f>
        <v>16849879</v>
      </c>
      <c r="O8" s="1">
        <f>+O9+O300+O530</f>
        <v>1393438</v>
      </c>
      <c r="P8" s="52"/>
    </row>
    <row r="9" spans="1:17" ht="17.25" customHeight="1">
      <c r="A9" s="3"/>
      <c r="B9" s="4" t="s">
        <v>8</v>
      </c>
      <c r="C9" s="4"/>
      <c r="D9" s="405" t="s">
        <v>12</v>
      </c>
      <c r="E9" s="405"/>
      <c r="F9" s="405"/>
      <c r="G9" s="405"/>
      <c r="H9" s="405" t="s">
        <v>13</v>
      </c>
      <c r="I9" s="405"/>
      <c r="J9" s="405"/>
      <c r="K9" s="405"/>
      <c r="L9" s="406"/>
      <c r="M9" s="1">
        <f>+M10+M259+M277</f>
        <v>14576305</v>
      </c>
      <c r="N9" s="1">
        <f>+N10+N259+N277</f>
        <v>13297410</v>
      </c>
      <c r="O9" s="1">
        <f>+O10+O259+O277</f>
        <v>1278895</v>
      </c>
      <c r="P9" s="52"/>
    </row>
    <row r="10" spans="1:17" ht="17.25" customHeight="1">
      <c r="A10" s="3"/>
      <c r="B10" s="4" t="s">
        <v>8</v>
      </c>
      <c r="C10" s="4"/>
      <c r="D10" s="405" t="s">
        <v>14</v>
      </c>
      <c r="E10" s="405"/>
      <c r="F10" s="405"/>
      <c r="G10" s="405"/>
      <c r="H10" s="405" t="s">
        <v>13</v>
      </c>
      <c r="I10" s="405"/>
      <c r="J10" s="405"/>
      <c r="K10" s="405"/>
      <c r="L10" s="406"/>
      <c r="M10" s="1">
        <f>+M11+M114+M250</f>
        <v>11447670</v>
      </c>
      <c r="N10" s="1">
        <f>+N11+N114+N250</f>
        <v>10524426</v>
      </c>
      <c r="O10" s="1">
        <f>+O11+O114+O250</f>
        <v>923244</v>
      </c>
      <c r="P10" s="52"/>
    </row>
    <row r="11" spans="1:17" s="39" customFormat="1" ht="17.25" customHeight="1">
      <c r="A11" s="36"/>
      <c r="B11" s="37" t="s">
        <v>8</v>
      </c>
      <c r="C11" s="37"/>
      <c r="D11" s="38"/>
      <c r="E11" s="407" t="s">
        <v>15</v>
      </c>
      <c r="F11" s="407"/>
      <c r="G11" s="407"/>
      <c r="H11" s="407"/>
      <c r="I11" s="407" t="s">
        <v>16</v>
      </c>
      <c r="J11" s="407"/>
      <c r="K11" s="407"/>
      <c r="L11" s="408"/>
      <c r="M11" s="21">
        <f>+L12+L21+L79+L83+L86+L87+L88</f>
        <v>7003168</v>
      </c>
      <c r="N11" s="21">
        <v>6639620</v>
      </c>
      <c r="O11" s="21">
        <f>+M11-N11</f>
        <v>363548</v>
      </c>
      <c r="P11" s="52"/>
      <c r="Q11" s="76"/>
    </row>
    <row r="12" spans="1:17" s="39" customFormat="1" ht="17.25" customHeight="1">
      <c r="A12" s="15"/>
      <c r="B12" s="16"/>
      <c r="C12" s="16"/>
      <c r="D12" s="71"/>
      <c r="E12" s="427" t="s">
        <v>17</v>
      </c>
      <c r="F12" s="428"/>
      <c r="G12" s="428"/>
      <c r="H12" s="428"/>
      <c r="I12" s="428"/>
      <c r="J12" s="428"/>
      <c r="K12" s="73"/>
      <c r="L12" s="22">
        <f>L13+L16</f>
        <v>4648069</v>
      </c>
      <c r="M12" s="22"/>
      <c r="N12" s="22"/>
      <c r="O12" s="22"/>
      <c r="P12" s="52"/>
      <c r="Q12" s="77"/>
    </row>
    <row r="13" spans="1:17" s="39" customFormat="1" ht="17.25" customHeight="1">
      <c r="A13" s="15"/>
      <c r="B13" s="16"/>
      <c r="C13" s="16"/>
      <c r="D13" s="71"/>
      <c r="E13" s="427" t="s">
        <v>18</v>
      </c>
      <c r="F13" s="428"/>
      <c r="G13" s="428"/>
      <c r="H13" s="428"/>
      <c r="I13" s="428"/>
      <c r="J13" s="428"/>
      <c r="K13" s="73"/>
      <c r="L13" s="22">
        <f>SUM(L14:L15)</f>
        <v>423545</v>
      </c>
      <c r="M13" s="22"/>
      <c r="N13" s="22"/>
      <c r="O13" s="22"/>
      <c r="P13" s="52"/>
      <c r="Q13" s="77"/>
    </row>
    <row r="14" spans="1:17" s="39" customFormat="1" ht="17.25" customHeight="1">
      <c r="A14" s="15"/>
      <c r="B14" s="16"/>
      <c r="C14" s="16"/>
      <c r="D14" s="71"/>
      <c r="E14" s="424" t="s">
        <v>635</v>
      </c>
      <c r="F14" s="425"/>
      <c r="G14" s="425"/>
      <c r="H14" s="425"/>
      <c r="I14" s="425"/>
      <c r="J14" s="426" t="s">
        <v>636</v>
      </c>
      <c r="K14" s="426"/>
      <c r="L14" s="22">
        <v>83465</v>
      </c>
      <c r="M14" s="22"/>
      <c r="N14" s="22"/>
      <c r="O14" s="22"/>
      <c r="P14" s="52"/>
      <c r="Q14" s="77"/>
    </row>
    <row r="15" spans="1:17" s="39" customFormat="1" ht="17.25" customHeight="1">
      <c r="A15" s="15"/>
      <c r="B15" s="16"/>
      <c r="C15" s="16"/>
      <c r="D15" s="71"/>
      <c r="E15" s="424" t="s">
        <v>19</v>
      </c>
      <c r="F15" s="425"/>
      <c r="G15" s="425"/>
      <c r="H15" s="425"/>
      <c r="I15" s="425"/>
      <c r="J15" s="426" t="s">
        <v>637</v>
      </c>
      <c r="K15" s="426"/>
      <c r="L15" s="22">
        <v>340080</v>
      </c>
      <c r="M15" s="22"/>
      <c r="N15" s="22"/>
      <c r="O15" s="22"/>
      <c r="P15" s="52"/>
      <c r="Q15" s="77"/>
    </row>
    <row r="16" spans="1:17" s="39" customFormat="1" ht="17.25" customHeight="1">
      <c r="A16" s="15"/>
      <c r="B16" s="16"/>
      <c r="C16" s="16"/>
      <c r="D16" s="71"/>
      <c r="E16" s="427" t="s">
        <v>20</v>
      </c>
      <c r="F16" s="428"/>
      <c r="G16" s="428"/>
      <c r="H16" s="428"/>
      <c r="I16" s="428"/>
      <c r="J16" s="428"/>
      <c r="K16" s="73"/>
      <c r="L16" s="22">
        <f>SUM(L17:L20)</f>
        <v>4224524</v>
      </c>
      <c r="M16" s="22"/>
      <c r="N16" s="22"/>
      <c r="O16" s="22"/>
      <c r="P16" s="52"/>
      <c r="Q16" s="77"/>
    </row>
    <row r="17" spans="1:17" s="39" customFormat="1" ht="17.25" customHeight="1">
      <c r="A17" s="15"/>
      <c r="B17" s="16"/>
      <c r="C17" s="16"/>
      <c r="D17" s="71"/>
      <c r="E17" s="424" t="s">
        <v>638</v>
      </c>
      <c r="F17" s="425"/>
      <c r="G17" s="425"/>
      <c r="H17" s="425"/>
      <c r="I17" s="425"/>
      <c r="J17" s="426" t="s">
        <v>639</v>
      </c>
      <c r="K17" s="426"/>
      <c r="L17" s="22">
        <v>1258765</v>
      </c>
      <c r="M17" s="22"/>
      <c r="N17" s="22"/>
      <c r="O17" s="22"/>
      <c r="P17" s="52"/>
      <c r="Q17" s="77"/>
    </row>
    <row r="18" spans="1:17" s="39" customFormat="1" ht="17.25" customHeight="1">
      <c r="A18" s="15"/>
      <c r="B18" s="16"/>
      <c r="C18" s="16"/>
      <c r="D18" s="71"/>
      <c r="E18" s="424" t="s">
        <v>640</v>
      </c>
      <c r="F18" s="425"/>
      <c r="G18" s="425"/>
      <c r="H18" s="425"/>
      <c r="I18" s="425"/>
      <c r="J18" s="426" t="s">
        <v>641</v>
      </c>
      <c r="K18" s="426"/>
      <c r="L18" s="22">
        <v>1634867</v>
      </c>
      <c r="M18" s="22"/>
      <c r="N18" s="22"/>
      <c r="O18" s="22"/>
      <c r="P18" s="52"/>
      <c r="Q18" s="77"/>
    </row>
    <row r="19" spans="1:17" s="39" customFormat="1" ht="17.25" customHeight="1">
      <c r="A19" s="15"/>
      <c r="B19" s="16"/>
      <c r="C19" s="16"/>
      <c r="D19" s="71"/>
      <c r="E19" s="424" t="s">
        <v>642</v>
      </c>
      <c r="F19" s="425"/>
      <c r="G19" s="425"/>
      <c r="H19" s="425"/>
      <c r="I19" s="425"/>
      <c r="J19" s="426" t="s">
        <v>643</v>
      </c>
      <c r="K19" s="426"/>
      <c r="L19" s="22">
        <v>691310</v>
      </c>
      <c r="M19" s="22"/>
      <c r="N19" s="22"/>
      <c r="O19" s="22"/>
      <c r="P19" s="52"/>
      <c r="Q19" s="77"/>
    </row>
    <row r="20" spans="1:17" s="39" customFormat="1" ht="17.25" customHeight="1">
      <c r="A20" s="15"/>
      <c r="B20" s="16"/>
      <c r="C20" s="16"/>
      <c r="D20" s="71"/>
      <c r="E20" s="424" t="s">
        <v>21</v>
      </c>
      <c r="F20" s="425"/>
      <c r="G20" s="425"/>
      <c r="H20" s="425"/>
      <c r="I20" s="425"/>
      <c r="J20" s="426" t="s">
        <v>644</v>
      </c>
      <c r="K20" s="426"/>
      <c r="L20" s="22">
        <v>639582</v>
      </c>
      <c r="M20" s="22"/>
      <c r="N20" s="22"/>
      <c r="O20" s="22"/>
      <c r="P20" s="52"/>
      <c r="Q20" s="77"/>
    </row>
    <row r="21" spans="1:17" s="39" customFormat="1" ht="17.25" customHeight="1">
      <c r="A21" s="15"/>
      <c r="B21" s="16"/>
      <c r="C21" s="16"/>
      <c r="D21" s="71"/>
      <c r="E21" s="427" t="s">
        <v>22</v>
      </c>
      <c r="F21" s="428"/>
      <c r="G21" s="428"/>
      <c r="H21" s="428"/>
      <c r="I21" s="428"/>
      <c r="J21" s="428"/>
      <c r="K21" s="73"/>
      <c r="L21" s="22">
        <f>L22+L28+L34+L35+L40+L43+L45+L46+L53+L54+L57+L67+L75+L76+L77</f>
        <v>2001510</v>
      </c>
      <c r="M21" s="22"/>
      <c r="N21" s="22"/>
      <c r="O21" s="22"/>
      <c r="P21" s="52"/>
      <c r="Q21" s="77"/>
    </row>
    <row r="22" spans="1:17" s="39" customFormat="1" ht="17.25" customHeight="1">
      <c r="A22" s="15"/>
      <c r="B22" s="16"/>
      <c r="C22" s="16"/>
      <c r="D22" s="71"/>
      <c r="E22" s="427" t="s">
        <v>23</v>
      </c>
      <c r="F22" s="428"/>
      <c r="G22" s="428"/>
      <c r="H22" s="428"/>
      <c r="I22" s="428"/>
      <c r="J22" s="428"/>
      <c r="K22" s="73"/>
      <c r="L22" s="22">
        <f>SUM(L23:L27)</f>
        <v>107160</v>
      </c>
      <c r="M22" s="22"/>
      <c r="N22" s="22"/>
      <c r="O22" s="22"/>
      <c r="P22" s="52"/>
      <c r="Q22" s="77"/>
    </row>
    <row r="23" spans="1:17" s="39" customFormat="1" ht="17.25" customHeight="1">
      <c r="A23" s="15"/>
      <c r="B23" s="16"/>
      <c r="C23" s="16"/>
      <c r="D23" s="71"/>
      <c r="E23" s="424" t="s">
        <v>24</v>
      </c>
      <c r="F23" s="425"/>
      <c r="G23" s="425"/>
      <c r="H23" s="425"/>
      <c r="I23" s="425"/>
      <c r="J23" s="426" t="s">
        <v>645</v>
      </c>
      <c r="K23" s="426"/>
      <c r="L23" s="22">
        <v>43680</v>
      </c>
      <c r="M23" s="22"/>
      <c r="N23" s="22"/>
      <c r="O23" s="22"/>
      <c r="P23" s="52"/>
      <c r="Q23" s="77"/>
    </row>
    <row r="24" spans="1:17" s="39" customFormat="1" ht="17.25" customHeight="1">
      <c r="A24" s="15"/>
      <c r="B24" s="16"/>
      <c r="C24" s="16"/>
      <c r="D24" s="71"/>
      <c r="E24" s="424" t="s">
        <v>25</v>
      </c>
      <c r="F24" s="425"/>
      <c r="G24" s="425"/>
      <c r="H24" s="425"/>
      <c r="I24" s="425"/>
      <c r="J24" s="426" t="s">
        <v>26</v>
      </c>
      <c r="K24" s="426"/>
      <c r="L24" s="22">
        <v>31680</v>
      </c>
      <c r="M24" s="22"/>
      <c r="N24" s="22"/>
      <c r="O24" s="22"/>
      <c r="P24" s="52"/>
      <c r="Q24" s="77"/>
    </row>
    <row r="25" spans="1:17" s="39" customFormat="1" ht="17.25" customHeight="1">
      <c r="A25" s="15"/>
      <c r="B25" s="16"/>
      <c r="C25" s="16"/>
      <c r="D25" s="71"/>
      <c r="E25" s="424" t="s">
        <v>27</v>
      </c>
      <c r="F25" s="425"/>
      <c r="G25" s="425"/>
      <c r="H25" s="425"/>
      <c r="I25" s="425"/>
      <c r="J25" s="426" t="s">
        <v>28</v>
      </c>
      <c r="K25" s="426"/>
      <c r="L25" s="22">
        <v>19200</v>
      </c>
      <c r="M25" s="22"/>
      <c r="N25" s="22"/>
      <c r="O25" s="22"/>
      <c r="P25" s="52"/>
      <c r="Q25" s="77"/>
    </row>
    <row r="26" spans="1:17" s="39" customFormat="1" ht="17.25" customHeight="1">
      <c r="A26" s="15"/>
      <c r="B26" s="16"/>
      <c r="C26" s="16"/>
      <c r="D26" s="71"/>
      <c r="E26" s="424" t="s">
        <v>29</v>
      </c>
      <c r="F26" s="425"/>
      <c r="G26" s="425"/>
      <c r="H26" s="425"/>
      <c r="I26" s="425"/>
      <c r="J26" s="426" t="s">
        <v>30</v>
      </c>
      <c r="K26" s="426"/>
      <c r="L26" s="22">
        <v>10800</v>
      </c>
      <c r="M26" s="22"/>
      <c r="N26" s="22"/>
      <c r="O26" s="22"/>
      <c r="P26" s="52"/>
      <c r="Q26" s="77"/>
    </row>
    <row r="27" spans="1:17" s="39" customFormat="1" ht="17.25" customHeight="1">
      <c r="A27" s="15"/>
      <c r="B27" s="16"/>
      <c r="C27" s="16"/>
      <c r="D27" s="71"/>
      <c r="E27" s="424" t="s">
        <v>31</v>
      </c>
      <c r="F27" s="425"/>
      <c r="G27" s="425"/>
      <c r="H27" s="425"/>
      <c r="I27" s="425"/>
      <c r="J27" s="426" t="s">
        <v>32</v>
      </c>
      <c r="K27" s="426"/>
      <c r="L27" s="22">
        <v>1800</v>
      </c>
      <c r="M27" s="22"/>
      <c r="N27" s="22"/>
      <c r="O27" s="22"/>
      <c r="P27" s="52"/>
      <c r="Q27" s="77"/>
    </row>
    <row r="28" spans="1:17" s="39" customFormat="1" ht="17.25" customHeight="1">
      <c r="A28" s="15"/>
      <c r="B28" s="16"/>
      <c r="C28" s="16"/>
      <c r="D28" s="71"/>
      <c r="E28" s="427" t="s">
        <v>33</v>
      </c>
      <c r="F28" s="428"/>
      <c r="G28" s="428"/>
      <c r="H28" s="428"/>
      <c r="I28" s="428"/>
      <c r="J28" s="428"/>
      <c r="K28" s="73"/>
      <c r="L28" s="22">
        <f>SUM(L29:L33)</f>
        <v>90000</v>
      </c>
      <c r="M28" s="22"/>
      <c r="N28" s="22"/>
      <c r="O28" s="22"/>
      <c r="P28" s="52"/>
      <c r="Q28" s="77"/>
    </row>
    <row r="29" spans="1:17" s="39" customFormat="1" ht="17.25" customHeight="1">
      <c r="A29" s="15"/>
      <c r="B29" s="16"/>
      <c r="C29" s="16"/>
      <c r="D29" s="71"/>
      <c r="E29" s="424" t="s">
        <v>34</v>
      </c>
      <c r="F29" s="425"/>
      <c r="G29" s="425"/>
      <c r="H29" s="425"/>
      <c r="I29" s="425"/>
      <c r="J29" s="426" t="s">
        <v>35</v>
      </c>
      <c r="K29" s="426"/>
      <c r="L29" s="22">
        <v>38400</v>
      </c>
      <c r="M29" s="22"/>
      <c r="N29" s="22"/>
      <c r="O29" s="22"/>
      <c r="P29" s="52"/>
      <c r="Q29" s="77"/>
    </row>
    <row r="30" spans="1:17" s="39" customFormat="1" ht="17.25" customHeight="1">
      <c r="A30" s="15"/>
      <c r="B30" s="16"/>
      <c r="C30" s="16"/>
      <c r="D30" s="71"/>
      <c r="E30" s="424" t="s">
        <v>646</v>
      </c>
      <c r="F30" s="425"/>
      <c r="G30" s="425"/>
      <c r="H30" s="425"/>
      <c r="I30" s="425"/>
      <c r="J30" s="426" t="s">
        <v>647</v>
      </c>
      <c r="K30" s="426"/>
      <c r="L30" s="22">
        <v>7200</v>
      </c>
      <c r="M30" s="22"/>
      <c r="N30" s="22"/>
      <c r="O30" s="22"/>
      <c r="P30" s="52"/>
      <c r="Q30" s="77"/>
    </row>
    <row r="31" spans="1:17" s="39" customFormat="1" ht="17.25" customHeight="1">
      <c r="A31" s="15"/>
      <c r="B31" s="16"/>
      <c r="C31" s="16"/>
      <c r="D31" s="71"/>
      <c r="E31" s="424" t="s">
        <v>648</v>
      </c>
      <c r="F31" s="425"/>
      <c r="G31" s="425"/>
      <c r="H31" s="425"/>
      <c r="I31" s="425"/>
      <c r="J31" s="426" t="s">
        <v>649</v>
      </c>
      <c r="K31" s="426"/>
      <c r="L31" s="22">
        <v>14400</v>
      </c>
      <c r="M31" s="22"/>
      <c r="N31" s="22"/>
      <c r="O31" s="22"/>
      <c r="P31" s="52"/>
      <c r="Q31" s="77"/>
    </row>
    <row r="32" spans="1:17" s="39" customFormat="1" ht="17.25" customHeight="1">
      <c r="A32" s="15"/>
      <c r="B32" s="16"/>
      <c r="C32" s="16"/>
      <c r="D32" s="71"/>
      <c r="E32" s="424" t="s">
        <v>37</v>
      </c>
      <c r="F32" s="425"/>
      <c r="G32" s="425"/>
      <c r="H32" s="425"/>
      <c r="I32" s="425"/>
      <c r="J32" s="426" t="s">
        <v>650</v>
      </c>
      <c r="K32" s="426"/>
      <c r="L32" s="22">
        <v>16800</v>
      </c>
      <c r="M32" s="22"/>
      <c r="N32" s="22"/>
      <c r="O32" s="22"/>
      <c r="P32" s="52"/>
      <c r="Q32" s="77"/>
    </row>
    <row r="33" spans="1:17" s="39" customFormat="1" ht="17.25" customHeight="1">
      <c r="A33" s="15"/>
      <c r="B33" s="16"/>
      <c r="C33" s="16"/>
      <c r="D33" s="71"/>
      <c r="E33" s="424" t="s">
        <v>38</v>
      </c>
      <c r="F33" s="425"/>
      <c r="G33" s="425"/>
      <c r="H33" s="425"/>
      <c r="I33" s="425"/>
      <c r="J33" s="426" t="s">
        <v>651</v>
      </c>
      <c r="K33" s="426"/>
      <c r="L33" s="22">
        <v>13200</v>
      </c>
      <c r="M33" s="22"/>
      <c r="N33" s="22"/>
      <c r="O33" s="22"/>
      <c r="P33" s="52"/>
      <c r="Q33" s="77"/>
    </row>
    <row r="34" spans="1:17" s="39" customFormat="1" ht="17.25" customHeight="1">
      <c r="A34" s="15"/>
      <c r="B34" s="16"/>
      <c r="C34" s="16"/>
      <c r="D34" s="71"/>
      <c r="E34" s="424" t="s">
        <v>39</v>
      </c>
      <c r="F34" s="425"/>
      <c r="G34" s="425"/>
      <c r="H34" s="425"/>
      <c r="I34" s="425"/>
      <c r="J34" s="426" t="s">
        <v>652</v>
      </c>
      <c r="K34" s="426"/>
      <c r="L34" s="22">
        <v>352044</v>
      </c>
      <c r="M34" s="22"/>
      <c r="N34" s="22"/>
      <c r="O34" s="22"/>
      <c r="P34" s="52"/>
      <c r="Q34" s="77"/>
    </row>
    <row r="35" spans="1:17" s="39" customFormat="1" ht="17.25" customHeight="1">
      <c r="A35" s="15"/>
      <c r="B35" s="16"/>
      <c r="C35" s="16"/>
      <c r="D35" s="71"/>
      <c r="E35" s="427" t="s">
        <v>40</v>
      </c>
      <c r="F35" s="428"/>
      <c r="G35" s="428"/>
      <c r="H35" s="428"/>
      <c r="I35" s="428"/>
      <c r="J35" s="428"/>
      <c r="K35" s="73"/>
      <c r="L35" s="22">
        <f>SUM(L36:L39)</f>
        <v>306363</v>
      </c>
      <c r="M35" s="22"/>
      <c r="N35" s="22"/>
      <c r="O35" s="22"/>
      <c r="P35" s="52"/>
      <c r="Q35" s="77"/>
    </row>
    <row r="36" spans="1:17" s="39" customFormat="1" ht="17.25" customHeight="1">
      <c r="A36" s="15"/>
      <c r="B36" s="16"/>
      <c r="C36" s="16"/>
      <c r="D36" s="71"/>
      <c r="E36" s="424" t="s">
        <v>41</v>
      </c>
      <c r="F36" s="425"/>
      <c r="G36" s="425"/>
      <c r="H36" s="425"/>
      <c r="I36" s="425"/>
      <c r="J36" s="426" t="s">
        <v>653</v>
      </c>
      <c r="K36" s="426"/>
      <c r="L36" s="22">
        <v>54883</v>
      </c>
      <c r="M36" s="22"/>
      <c r="N36" s="22"/>
      <c r="O36" s="22"/>
      <c r="P36" s="52"/>
      <c r="Q36" s="77"/>
    </row>
    <row r="37" spans="1:17" s="39" customFormat="1" ht="17.25" customHeight="1">
      <c r="A37" s="15"/>
      <c r="B37" s="16"/>
      <c r="C37" s="16"/>
      <c r="D37" s="71"/>
      <c r="E37" s="424" t="s">
        <v>42</v>
      </c>
      <c r="F37" s="425"/>
      <c r="G37" s="425"/>
      <c r="H37" s="425"/>
      <c r="I37" s="425"/>
      <c r="J37" s="426" t="s">
        <v>654</v>
      </c>
      <c r="K37" s="426"/>
      <c r="L37" s="22">
        <v>129428</v>
      </c>
      <c r="M37" s="22"/>
      <c r="N37" s="22"/>
      <c r="O37" s="22"/>
      <c r="P37" s="52"/>
      <c r="Q37" s="77"/>
    </row>
    <row r="38" spans="1:17" s="39" customFormat="1" ht="17.25" customHeight="1">
      <c r="A38" s="15"/>
      <c r="B38" s="16"/>
      <c r="C38" s="16"/>
      <c r="D38" s="71"/>
      <c r="E38" s="424" t="s">
        <v>43</v>
      </c>
      <c r="F38" s="425"/>
      <c r="G38" s="425"/>
      <c r="H38" s="425"/>
      <c r="I38" s="425"/>
      <c r="J38" s="426" t="s">
        <v>655</v>
      </c>
      <c r="K38" s="426"/>
      <c r="L38" s="22">
        <v>62176</v>
      </c>
      <c r="M38" s="22"/>
      <c r="N38" s="22"/>
      <c r="O38" s="22"/>
      <c r="P38" s="52"/>
      <c r="Q38" s="77"/>
    </row>
    <row r="39" spans="1:17" s="39" customFormat="1" ht="17.25" customHeight="1">
      <c r="A39" s="15"/>
      <c r="B39" s="16"/>
      <c r="C39" s="16"/>
      <c r="D39" s="71"/>
      <c r="E39" s="424" t="s">
        <v>44</v>
      </c>
      <c r="F39" s="425"/>
      <c r="G39" s="425"/>
      <c r="H39" s="425"/>
      <c r="I39" s="425"/>
      <c r="J39" s="426" t="s">
        <v>656</v>
      </c>
      <c r="K39" s="426"/>
      <c r="L39" s="22">
        <v>59876</v>
      </c>
      <c r="M39" s="22"/>
      <c r="N39" s="22"/>
      <c r="O39" s="22"/>
      <c r="P39" s="52"/>
      <c r="Q39" s="77"/>
    </row>
    <row r="40" spans="1:17" s="39" customFormat="1" ht="17.25" customHeight="1">
      <c r="A40" s="15"/>
      <c r="B40" s="16"/>
      <c r="C40" s="16"/>
      <c r="D40" s="71"/>
      <c r="E40" s="427" t="s">
        <v>45</v>
      </c>
      <c r="F40" s="428"/>
      <c r="G40" s="428"/>
      <c r="H40" s="428"/>
      <c r="I40" s="428"/>
      <c r="J40" s="428"/>
      <c r="K40" s="73"/>
      <c r="L40" s="22">
        <f>SUM(L41)</f>
        <v>126342</v>
      </c>
      <c r="M40" s="22"/>
      <c r="N40" s="22"/>
      <c r="O40" s="22"/>
      <c r="P40" s="52"/>
      <c r="Q40" s="77"/>
    </row>
    <row r="41" spans="1:17" s="39" customFormat="1" ht="17.25" customHeight="1">
      <c r="A41" s="15"/>
      <c r="B41" s="16"/>
      <c r="C41" s="16"/>
      <c r="D41" s="71"/>
      <c r="E41" s="424" t="s">
        <v>46</v>
      </c>
      <c r="F41" s="425"/>
      <c r="G41" s="425"/>
      <c r="H41" s="425"/>
      <c r="I41" s="425"/>
      <c r="J41" s="426" t="s">
        <v>657</v>
      </c>
      <c r="K41" s="426"/>
      <c r="L41" s="22">
        <v>126342</v>
      </c>
      <c r="M41" s="22"/>
      <c r="N41" s="22"/>
      <c r="O41" s="22"/>
      <c r="P41" s="52"/>
      <c r="Q41" s="77"/>
    </row>
    <row r="42" spans="1:17" s="39" customFormat="1" ht="17.25" customHeight="1">
      <c r="A42" s="15"/>
      <c r="B42" s="16"/>
      <c r="C42" s="16"/>
      <c r="D42" s="72"/>
      <c r="E42" s="428" t="s">
        <v>47</v>
      </c>
      <c r="F42" s="428"/>
      <c r="G42" s="428"/>
      <c r="H42" s="428"/>
      <c r="I42" s="428"/>
      <c r="J42" s="428"/>
      <c r="K42" s="428"/>
      <c r="L42" s="429"/>
      <c r="M42" s="72"/>
      <c r="N42" s="22"/>
      <c r="O42" s="22"/>
      <c r="P42" s="52"/>
      <c r="Q42" s="77"/>
    </row>
    <row r="43" spans="1:17" s="39" customFormat="1" ht="17.25" customHeight="1">
      <c r="A43" s="15"/>
      <c r="B43" s="16"/>
      <c r="C43" s="16"/>
      <c r="D43" s="71"/>
      <c r="E43" s="430" t="s">
        <v>658</v>
      </c>
      <c r="F43" s="431"/>
      <c r="G43" s="431"/>
      <c r="H43" s="431"/>
      <c r="I43" s="431"/>
      <c r="J43" s="431"/>
      <c r="K43" s="431"/>
      <c r="L43" s="22">
        <v>50094</v>
      </c>
      <c r="M43" s="22"/>
      <c r="N43" s="41"/>
      <c r="O43" s="41"/>
      <c r="P43" s="52"/>
      <c r="Q43" s="77"/>
    </row>
    <row r="44" spans="1:17" s="39" customFormat="1" ht="17.25" customHeight="1">
      <c r="A44" s="15"/>
      <c r="B44" s="16"/>
      <c r="C44" s="16"/>
      <c r="D44" s="72"/>
      <c r="E44" s="428" t="s">
        <v>48</v>
      </c>
      <c r="F44" s="428"/>
      <c r="G44" s="428"/>
      <c r="H44" s="428"/>
      <c r="I44" s="428"/>
      <c r="J44" s="428"/>
      <c r="K44" s="428"/>
      <c r="L44" s="429"/>
      <c r="M44" s="72"/>
      <c r="N44" s="22"/>
      <c r="O44" s="22"/>
      <c r="P44" s="52"/>
      <c r="Q44" s="77"/>
    </row>
    <row r="45" spans="1:17" s="39" customFormat="1" ht="17.25" customHeight="1">
      <c r="A45" s="15"/>
      <c r="B45" s="16"/>
      <c r="C45" s="16"/>
      <c r="D45" s="71"/>
      <c r="E45" s="430" t="s">
        <v>659</v>
      </c>
      <c r="F45" s="431"/>
      <c r="G45" s="431"/>
      <c r="H45" s="431"/>
      <c r="I45" s="431"/>
      <c r="J45" s="431"/>
      <c r="K45" s="431"/>
      <c r="L45" s="22">
        <v>25047</v>
      </c>
      <c r="M45" s="22"/>
      <c r="N45" s="41"/>
      <c r="O45" s="41"/>
      <c r="P45" s="52"/>
      <c r="Q45" s="77"/>
    </row>
    <row r="46" spans="1:17" s="39" customFormat="1" ht="17.25" customHeight="1">
      <c r="A46" s="15"/>
      <c r="B46" s="16"/>
      <c r="C46" s="16"/>
      <c r="D46" s="71"/>
      <c r="E46" s="427" t="s">
        <v>49</v>
      </c>
      <c r="F46" s="428"/>
      <c r="G46" s="428"/>
      <c r="H46" s="428"/>
      <c r="I46" s="428"/>
      <c r="J46" s="428"/>
      <c r="K46" s="73"/>
      <c r="L46" s="22">
        <f>SUM(L48,L50,L52)</f>
        <v>190428</v>
      </c>
      <c r="M46" s="22"/>
      <c r="N46" s="22"/>
      <c r="O46" s="22"/>
      <c r="P46" s="52"/>
      <c r="Q46" s="77"/>
    </row>
    <row r="47" spans="1:17" s="39" customFormat="1" ht="17.25" customHeight="1">
      <c r="A47" s="15"/>
      <c r="B47" s="16"/>
      <c r="C47" s="16"/>
      <c r="D47" s="72"/>
      <c r="E47" s="428" t="s">
        <v>50</v>
      </c>
      <c r="F47" s="428"/>
      <c r="G47" s="428"/>
      <c r="H47" s="428"/>
      <c r="I47" s="428"/>
      <c r="J47" s="428"/>
      <c r="K47" s="428"/>
      <c r="L47" s="429"/>
      <c r="M47" s="72"/>
      <c r="N47" s="22"/>
      <c r="O47" s="22"/>
      <c r="P47" s="52"/>
      <c r="Q47" s="77"/>
    </row>
    <row r="48" spans="1:17" s="39" customFormat="1" ht="17.25" customHeight="1">
      <c r="A48" s="15"/>
      <c r="B48" s="16"/>
      <c r="C48" s="16"/>
      <c r="D48" s="71"/>
      <c r="E48" s="430" t="s">
        <v>660</v>
      </c>
      <c r="F48" s="431"/>
      <c r="G48" s="431"/>
      <c r="H48" s="431"/>
      <c r="I48" s="431"/>
      <c r="J48" s="431"/>
      <c r="K48" s="431"/>
      <c r="L48" s="22">
        <v>43125</v>
      </c>
      <c r="M48" s="22"/>
      <c r="N48" s="41"/>
      <c r="O48" s="41"/>
      <c r="P48" s="52"/>
      <c r="Q48" s="77"/>
    </row>
    <row r="49" spans="1:17" s="39" customFormat="1" ht="17.25" customHeight="1">
      <c r="A49" s="15"/>
      <c r="B49" s="16"/>
      <c r="C49" s="16"/>
      <c r="D49" s="72"/>
      <c r="E49" s="428" t="s">
        <v>51</v>
      </c>
      <c r="F49" s="428"/>
      <c r="G49" s="428"/>
      <c r="H49" s="428"/>
      <c r="I49" s="428"/>
      <c r="J49" s="428"/>
      <c r="K49" s="428"/>
      <c r="L49" s="429"/>
      <c r="M49" s="72"/>
      <c r="N49" s="22"/>
      <c r="O49" s="22"/>
      <c r="P49" s="52"/>
      <c r="Q49" s="77"/>
    </row>
    <row r="50" spans="1:17" s="39" customFormat="1" ht="17.25" customHeight="1">
      <c r="A50" s="15"/>
      <c r="B50" s="16"/>
      <c r="C50" s="16"/>
      <c r="D50" s="71"/>
      <c r="E50" s="430" t="s">
        <v>661</v>
      </c>
      <c r="F50" s="431"/>
      <c r="G50" s="431"/>
      <c r="H50" s="431"/>
      <c r="I50" s="431"/>
      <c r="J50" s="431"/>
      <c r="K50" s="431"/>
      <c r="L50" s="22">
        <v>97705</v>
      </c>
      <c r="M50" s="22"/>
      <c r="N50" s="41"/>
      <c r="O50" s="41"/>
      <c r="P50" s="52"/>
      <c r="Q50" s="77"/>
    </row>
    <row r="51" spans="1:17" s="39" customFormat="1" ht="17.25" customHeight="1">
      <c r="A51" s="15"/>
      <c r="B51" s="16"/>
      <c r="C51" s="16"/>
      <c r="D51" s="72"/>
      <c r="E51" s="428" t="s">
        <v>52</v>
      </c>
      <c r="F51" s="428"/>
      <c r="G51" s="428"/>
      <c r="H51" s="428"/>
      <c r="I51" s="428"/>
      <c r="J51" s="428"/>
      <c r="K51" s="428"/>
      <c r="L51" s="429"/>
      <c r="M51" s="72"/>
      <c r="N51" s="22"/>
      <c r="O51" s="22"/>
      <c r="P51" s="52"/>
      <c r="Q51" s="77"/>
    </row>
    <row r="52" spans="1:17" s="39" customFormat="1" ht="17.25" customHeight="1">
      <c r="A52" s="15"/>
      <c r="B52" s="16"/>
      <c r="C52" s="16"/>
      <c r="D52" s="71"/>
      <c r="E52" s="430" t="s">
        <v>662</v>
      </c>
      <c r="F52" s="431"/>
      <c r="G52" s="431"/>
      <c r="H52" s="431"/>
      <c r="I52" s="431"/>
      <c r="J52" s="431"/>
      <c r="K52" s="431"/>
      <c r="L52" s="22">
        <v>49598</v>
      </c>
      <c r="M52" s="22"/>
      <c r="N52" s="41"/>
      <c r="O52" s="41"/>
      <c r="P52" s="52"/>
      <c r="Q52" s="77"/>
    </row>
    <row r="53" spans="1:17" s="39" customFormat="1" ht="17.25" customHeight="1">
      <c r="A53" s="15"/>
      <c r="B53" s="16"/>
      <c r="C53" s="16"/>
      <c r="D53" s="71"/>
      <c r="E53" s="424" t="s">
        <v>53</v>
      </c>
      <c r="F53" s="425"/>
      <c r="G53" s="425"/>
      <c r="H53" s="425"/>
      <c r="I53" s="425"/>
      <c r="J53" s="426" t="s">
        <v>663</v>
      </c>
      <c r="K53" s="426"/>
      <c r="L53" s="22">
        <v>57499</v>
      </c>
      <c r="M53" s="22"/>
      <c r="N53" s="22"/>
      <c r="O53" s="22"/>
      <c r="P53" s="52"/>
      <c r="Q53" s="77"/>
    </row>
    <row r="54" spans="1:17" s="39" customFormat="1" ht="17.25" customHeight="1">
      <c r="A54" s="15"/>
      <c r="B54" s="16"/>
      <c r="C54" s="16"/>
      <c r="D54" s="71"/>
      <c r="E54" s="427" t="s">
        <v>54</v>
      </c>
      <c r="F54" s="428"/>
      <c r="G54" s="428"/>
      <c r="H54" s="428"/>
      <c r="I54" s="428"/>
      <c r="J54" s="428"/>
      <c r="K54" s="73"/>
      <c r="L54" s="22">
        <f>SUM(L55:L56)</f>
        <v>592133</v>
      </c>
      <c r="M54" s="22"/>
      <c r="N54" s="22"/>
      <c r="O54" s="22"/>
      <c r="P54" s="52"/>
      <c r="Q54" s="77"/>
    </row>
    <row r="55" spans="1:17" s="39" customFormat="1" ht="17.25" customHeight="1">
      <c r="A55" s="15"/>
      <c r="B55" s="16"/>
      <c r="C55" s="16"/>
      <c r="D55" s="71"/>
      <c r="E55" s="424" t="s">
        <v>55</v>
      </c>
      <c r="F55" s="425"/>
      <c r="G55" s="425"/>
      <c r="H55" s="425"/>
      <c r="I55" s="425"/>
      <c r="J55" s="426" t="s">
        <v>664</v>
      </c>
      <c r="K55" s="426"/>
      <c r="L55" s="22">
        <v>422453</v>
      </c>
      <c r="M55" s="22"/>
      <c r="N55" s="22"/>
      <c r="O55" s="22"/>
      <c r="P55" s="52"/>
      <c r="Q55" s="77"/>
    </row>
    <row r="56" spans="1:17" s="39" customFormat="1" ht="17.25" customHeight="1">
      <c r="A56" s="15"/>
      <c r="B56" s="16"/>
      <c r="C56" s="16"/>
      <c r="D56" s="71"/>
      <c r="E56" s="424" t="s">
        <v>56</v>
      </c>
      <c r="F56" s="425"/>
      <c r="G56" s="425"/>
      <c r="H56" s="425"/>
      <c r="I56" s="425"/>
      <c r="J56" s="426" t="s">
        <v>665</v>
      </c>
      <c r="K56" s="426"/>
      <c r="L56" s="22">
        <v>169680</v>
      </c>
      <c r="M56" s="22"/>
      <c r="N56" s="22"/>
      <c r="O56" s="22"/>
      <c r="P56" s="52"/>
      <c r="Q56" s="77"/>
    </row>
    <row r="57" spans="1:17" s="39" customFormat="1" ht="17.25" customHeight="1">
      <c r="A57" s="15"/>
      <c r="B57" s="16"/>
      <c r="C57" s="16"/>
      <c r="D57" s="71"/>
      <c r="E57" s="427" t="s">
        <v>57</v>
      </c>
      <c r="F57" s="428"/>
      <c r="G57" s="428"/>
      <c r="H57" s="428"/>
      <c r="I57" s="428"/>
      <c r="J57" s="428"/>
      <c r="K57" s="73"/>
      <c r="L57" s="22">
        <f>L58+L62+L65+L66</f>
        <v>26400</v>
      </c>
      <c r="M57" s="22"/>
      <c r="N57" s="22"/>
      <c r="O57" s="22"/>
      <c r="P57" s="52"/>
      <c r="Q57" s="77"/>
    </row>
    <row r="58" spans="1:17" s="39" customFormat="1" ht="17.25" customHeight="1">
      <c r="A58" s="15"/>
      <c r="B58" s="16"/>
      <c r="C58" s="16"/>
      <c r="D58" s="71"/>
      <c r="E58" s="427" t="s">
        <v>58</v>
      </c>
      <c r="F58" s="428"/>
      <c r="G58" s="428"/>
      <c r="H58" s="428"/>
      <c r="I58" s="428"/>
      <c r="J58" s="428"/>
      <c r="K58" s="73"/>
      <c r="L58" s="22">
        <f>SUM(L59:L61)</f>
        <v>12120</v>
      </c>
      <c r="M58" s="22"/>
      <c r="N58" s="22"/>
      <c r="O58" s="22"/>
      <c r="P58" s="52"/>
      <c r="Q58" s="77"/>
    </row>
    <row r="59" spans="1:17" s="39" customFormat="1" ht="17.25" customHeight="1">
      <c r="A59" s="15"/>
      <c r="B59" s="16"/>
      <c r="C59" s="16"/>
      <c r="D59" s="71"/>
      <c r="E59" s="424" t="s">
        <v>59</v>
      </c>
      <c r="F59" s="425"/>
      <c r="G59" s="425"/>
      <c r="H59" s="425"/>
      <c r="I59" s="425"/>
      <c r="J59" s="426" t="s">
        <v>60</v>
      </c>
      <c r="K59" s="426"/>
      <c r="L59" s="22">
        <v>1200</v>
      </c>
      <c r="M59" s="22"/>
      <c r="N59" s="22"/>
      <c r="O59" s="22"/>
      <c r="P59" s="52"/>
      <c r="Q59" s="77"/>
    </row>
    <row r="60" spans="1:17" s="39" customFormat="1" ht="17.25" customHeight="1">
      <c r="A60" s="15"/>
      <c r="B60" s="16"/>
      <c r="C60" s="16"/>
      <c r="D60" s="71"/>
      <c r="E60" s="424" t="s">
        <v>61</v>
      </c>
      <c r="F60" s="425"/>
      <c r="G60" s="425"/>
      <c r="H60" s="425"/>
      <c r="I60" s="425"/>
      <c r="J60" s="426" t="s">
        <v>62</v>
      </c>
      <c r="K60" s="426"/>
      <c r="L60" s="22">
        <v>7560</v>
      </c>
      <c r="M60" s="22"/>
      <c r="N60" s="22"/>
      <c r="O60" s="22"/>
      <c r="P60" s="52"/>
      <c r="Q60" s="77"/>
    </row>
    <row r="61" spans="1:17" s="39" customFormat="1" ht="17.25" customHeight="1">
      <c r="A61" s="15"/>
      <c r="B61" s="16"/>
      <c r="C61" s="16"/>
      <c r="D61" s="71"/>
      <c r="E61" s="424" t="s">
        <v>63</v>
      </c>
      <c r="F61" s="425"/>
      <c r="G61" s="425"/>
      <c r="H61" s="425"/>
      <c r="I61" s="425"/>
      <c r="J61" s="426" t="s">
        <v>64</v>
      </c>
      <c r="K61" s="426"/>
      <c r="L61" s="22">
        <v>3360</v>
      </c>
      <c r="M61" s="22"/>
      <c r="N61" s="22"/>
      <c r="O61" s="22"/>
      <c r="P61" s="52"/>
      <c r="Q61" s="77"/>
    </row>
    <row r="62" spans="1:17" s="39" customFormat="1" ht="17.25" customHeight="1">
      <c r="A62" s="15"/>
      <c r="B62" s="16"/>
      <c r="C62" s="16"/>
      <c r="D62" s="71"/>
      <c r="E62" s="427" t="s">
        <v>65</v>
      </c>
      <c r="F62" s="428"/>
      <c r="G62" s="428"/>
      <c r="H62" s="428"/>
      <c r="I62" s="428"/>
      <c r="J62" s="428"/>
      <c r="K62" s="73"/>
      <c r="L62" s="22">
        <f>SUM(L63:L64)</f>
        <v>9480</v>
      </c>
      <c r="M62" s="22"/>
      <c r="N62" s="22"/>
      <c r="O62" s="22"/>
      <c r="P62" s="52"/>
      <c r="Q62" s="77"/>
    </row>
    <row r="63" spans="1:17" s="39" customFormat="1" ht="17.25" customHeight="1">
      <c r="A63" s="15"/>
      <c r="B63" s="16"/>
      <c r="C63" s="16"/>
      <c r="D63" s="71"/>
      <c r="E63" s="424" t="s">
        <v>66</v>
      </c>
      <c r="F63" s="425"/>
      <c r="G63" s="425"/>
      <c r="H63" s="425"/>
      <c r="I63" s="425"/>
      <c r="J63" s="426" t="s">
        <v>67</v>
      </c>
      <c r="K63" s="426"/>
      <c r="L63" s="22">
        <v>9000</v>
      </c>
      <c r="M63" s="22"/>
      <c r="N63" s="22"/>
      <c r="O63" s="22"/>
      <c r="P63" s="52"/>
      <c r="Q63" s="77"/>
    </row>
    <row r="64" spans="1:17" s="39" customFormat="1" ht="17.25" customHeight="1">
      <c r="A64" s="15"/>
      <c r="B64" s="16"/>
      <c r="C64" s="16"/>
      <c r="D64" s="71"/>
      <c r="E64" s="424" t="s">
        <v>68</v>
      </c>
      <c r="F64" s="425"/>
      <c r="G64" s="425"/>
      <c r="H64" s="425"/>
      <c r="I64" s="425"/>
      <c r="J64" s="426" t="s">
        <v>69</v>
      </c>
      <c r="K64" s="426"/>
      <c r="L64" s="22">
        <v>480</v>
      </c>
      <c r="M64" s="22"/>
      <c r="N64" s="22"/>
      <c r="O64" s="22"/>
      <c r="P64" s="52"/>
      <c r="Q64" s="77"/>
    </row>
    <row r="65" spans="1:17" s="39" customFormat="1" ht="17.25" customHeight="1">
      <c r="A65" s="15"/>
      <c r="B65" s="16"/>
      <c r="C65" s="16"/>
      <c r="D65" s="71"/>
      <c r="E65" s="424" t="s">
        <v>70</v>
      </c>
      <c r="F65" s="425"/>
      <c r="G65" s="425"/>
      <c r="H65" s="425"/>
      <c r="I65" s="425"/>
      <c r="J65" s="426" t="s">
        <v>71</v>
      </c>
      <c r="K65" s="426"/>
      <c r="L65" s="22">
        <v>3600</v>
      </c>
      <c r="M65" s="22"/>
      <c r="N65" s="22"/>
      <c r="O65" s="22"/>
      <c r="P65" s="52"/>
      <c r="Q65" s="77"/>
    </row>
    <row r="66" spans="1:17" s="39" customFormat="1" ht="17.25" customHeight="1">
      <c r="A66" s="15"/>
      <c r="B66" s="16"/>
      <c r="C66" s="16"/>
      <c r="D66" s="71"/>
      <c r="E66" s="424" t="s">
        <v>72</v>
      </c>
      <c r="F66" s="425"/>
      <c r="G66" s="425"/>
      <c r="H66" s="425"/>
      <c r="I66" s="425"/>
      <c r="J66" s="426" t="s">
        <v>60</v>
      </c>
      <c r="K66" s="426"/>
      <c r="L66" s="22">
        <v>1200</v>
      </c>
      <c r="M66" s="22"/>
      <c r="N66" s="22"/>
      <c r="O66" s="22"/>
      <c r="P66" s="52"/>
      <c r="Q66" s="77"/>
    </row>
    <row r="67" spans="1:17" s="39" customFormat="1" ht="17.25" customHeight="1">
      <c r="A67" s="15"/>
      <c r="B67" s="16"/>
      <c r="C67" s="16"/>
      <c r="D67" s="71"/>
      <c r="E67" s="427" t="s">
        <v>73</v>
      </c>
      <c r="F67" s="428"/>
      <c r="G67" s="428"/>
      <c r="H67" s="428"/>
      <c r="I67" s="428"/>
      <c r="J67" s="428"/>
      <c r="K67" s="73"/>
      <c r="L67" s="22">
        <f>SUM(L68:L74)</f>
        <v>14400</v>
      </c>
      <c r="M67" s="22"/>
      <c r="N67" s="22"/>
      <c r="O67" s="22"/>
      <c r="P67" s="52"/>
      <c r="Q67" s="77"/>
    </row>
    <row r="68" spans="1:17" s="39" customFormat="1" ht="17.25" customHeight="1">
      <c r="A68" s="15"/>
      <c r="B68" s="16"/>
      <c r="C68" s="16"/>
      <c r="D68" s="71"/>
      <c r="E68" s="424" t="s">
        <v>74</v>
      </c>
      <c r="F68" s="425"/>
      <c r="G68" s="425"/>
      <c r="H68" s="425"/>
      <c r="I68" s="425"/>
      <c r="J68" s="426" t="s">
        <v>75</v>
      </c>
      <c r="K68" s="426"/>
      <c r="L68" s="22">
        <v>960</v>
      </c>
      <c r="M68" s="22"/>
      <c r="N68" s="22"/>
      <c r="O68" s="22"/>
      <c r="P68" s="52"/>
      <c r="Q68" s="77"/>
    </row>
    <row r="69" spans="1:17" s="39" customFormat="1" ht="17.25" customHeight="1">
      <c r="A69" s="15"/>
      <c r="B69" s="16"/>
      <c r="C69" s="16"/>
      <c r="D69" s="71"/>
      <c r="E69" s="424" t="s">
        <v>76</v>
      </c>
      <c r="F69" s="425"/>
      <c r="G69" s="425"/>
      <c r="H69" s="425"/>
      <c r="I69" s="425"/>
      <c r="J69" s="426" t="s">
        <v>75</v>
      </c>
      <c r="K69" s="426"/>
      <c r="L69" s="22">
        <v>960</v>
      </c>
      <c r="M69" s="22"/>
      <c r="N69" s="22"/>
      <c r="O69" s="22"/>
      <c r="P69" s="52"/>
      <c r="Q69" s="77"/>
    </row>
    <row r="70" spans="1:17" s="39" customFormat="1" ht="17.25" customHeight="1">
      <c r="A70" s="15"/>
      <c r="B70" s="16"/>
      <c r="C70" s="16"/>
      <c r="D70" s="71"/>
      <c r="E70" s="424" t="s">
        <v>77</v>
      </c>
      <c r="F70" s="425"/>
      <c r="G70" s="425"/>
      <c r="H70" s="425"/>
      <c r="I70" s="425"/>
      <c r="J70" s="426" t="s">
        <v>78</v>
      </c>
      <c r="K70" s="426"/>
      <c r="L70" s="22">
        <v>1920</v>
      </c>
      <c r="M70" s="22"/>
      <c r="N70" s="22"/>
      <c r="O70" s="22"/>
      <c r="P70" s="52"/>
      <c r="Q70" s="77"/>
    </row>
    <row r="71" spans="1:17" s="39" customFormat="1" ht="17.25" customHeight="1">
      <c r="A71" s="15"/>
      <c r="B71" s="16"/>
      <c r="C71" s="16"/>
      <c r="D71" s="71"/>
      <c r="E71" s="424" t="s">
        <v>79</v>
      </c>
      <c r="F71" s="425"/>
      <c r="G71" s="425"/>
      <c r="H71" s="425"/>
      <c r="I71" s="425"/>
      <c r="J71" s="426" t="s">
        <v>80</v>
      </c>
      <c r="K71" s="426"/>
      <c r="L71" s="22">
        <v>3840</v>
      </c>
      <c r="M71" s="22"/>
      <c r="N71" s="22"/>
      <c r="O71" s="22"/>
      <c r="P71" s="52"/>
      <c r="Q71" s="77"/>
    </row>
    <row r="72" spans="1:17" s="39" customFormat="1" ht="17.25" customHeight="1">
      <c r="A72" s="15"/>
      <c r="B72" s="16"/>
      <c r="C72" s="16"/>
      <c r="D72" s="71"/>
      <c r="E72" s="424" t="s">
        <v>81</v>
      </c>
      <c r="F72" s="425"/>
      <c r="G72" s="425"/>
      <c r="H72" s="425"/>
      <c r="I72" s="425"/>
      <c r="J72" s="426" t="s">
        <v>666</v>
      </c>
      <c r="K72" s="426"/>
      <c r="L72" s="22">
        <v>2880</v>
      </c>
      <c r="M72" s="22"/>
      <c r="N72" s="22"/>
      <c r="O72" s="22"/>
      <c r="P72" s="52"/>
      <c r="Q72" s="77"/>
    </row>
    <row r="73" spans="1:17" s="39" customFormat="1" ht="17.25" customHeight="1">
      <c r="A73" s="15"/>
      <c r="B73" s="16"/>
      <c r="C73" s="16"/>
      <c r="D73" s="71"/>
      <c r="E73" s="424" t="s">
        <v>667</v>
      </c>
      <c r="F73" s="425"/>
      <c r="G73" s="425"/>
      <c r="H73" s="425"/>
      <c r="I73" s="425"/>
      <c r="J73" s="426" t="s">
        <v>78</v>
      </c>
      <c r="K73" s="426"/>
      <c r="L73" s="22">
        <v>1920</v>
      </c>
      <c r="M73" s="22"/>
      <c r="N73" s="22"/>
      <c r="O73" s="22"/>
      <c r="P73" s="52"/>
      <c r="Q73" s="77"/>
    </row>
    <row r="74" spans="1:17" s="39" customFormat="1" ht="17.25" customHeight="1">
      <c r="A74" s="15"/>
      <c r="B74" s="16"/>
      <c r="C74" s="16"/>
      <c r="D74" s="71"/>
      <c r="E74" s="424" t="s">
        <v>82</v>
      </c>
      <c r="F74" s="425"/>
      <c r="G74" s="425"/>
      <c r="H74" s="425"/>
      <c r="I74" s="425"/>
      <c r="J74" s="426" t="s">
        <v>78</v>
      </c>
      <c r="K74" s="426"/>
      <c r="L74" s="22">
        <v>1920</v>
      </c>
      <c r="M74" s="22"/>
      <c r="N74" s="22"/>
      <c r="O74" s="22"/>
      <c r="P74" s="52"/>
      <c r="Q74" s="77"/>
    </row>
    <row r="75" spans="1:17" s="39" customFormat="1" ht="17.25" customHeight="1">
      <c r="A75" s="15"/>
      <c r="B75" s="16"/>
      <c r="C75" s="16"/>
      <c r="D75" s="71"/>
      <c r="E75" s="424" t="s">
        <v>83</v>
      </c>
      <c r="F75" s="425"/>
      <c r="G75" s="425"/>
      <c r="H75" s="425"/>
      <c r="I75" s="425"/>
      <c r="J75" s="426" t="s">
        <v>668</v>
      </c>
      <c r="K75" s="426"/>
      <c r="L75" s="22">
        <v>51600</v>
      </c>
      <c r="M75" s="22"/>
      <c r="N75" s="22"/>
      <c r="O75" s="22"/>
      <c r="P75" s="52"/>
      <c r="Q75" s="77"/>
    </row>
    <row r="76" spans="1:17" s="39" customFormat="1" ht="17.25" customHeight="1">
      <c r="A76" s="15"/>
      <c r="B76" s="16"/>
      <c r="C76" s="16"/>
      <c r="D76" s="71"/>
      <c r="E76" s="424" t="s">
        <v>84</v>
      </c>
      <c r="F76" s="425"/>
      <c r="G76" s="425"/>
      <c r="H76" s="425"/>
      <c r="I76" s="425"/>
      <c r="J76" s="426" t="s">
        <v>85</v>
      </c>
      <c r="K76" s="426"/>
      <c r="L76" s="22">
        <v>4800</v>
      </c>
      <c r="M76" s="22"/>
      <c r="N76" s="22"/>
      <c r="O76" s="22"/>
      <c r="P76" s="52"/>
      <c r="Q76" s="77"/>
    </row>
    <row r="77" spans="1:17" s="39" customFormat="1" ht="17.25" customHeight="1">
      <c r="A77" s="15"/>
      <c r="B77" s="16"/>
      <c r="C77" s="16"/>
      <c r="D77" s="71"/>
      <c r="E77" s="427" t="s">
        <v>86</v>
      </c>
      <c r="F77" s="428"/>
      <c r="G77" s="428"/>
      <c r="H77" s="428"/>
      <c r="I77" s="428"/>
      <c r="J77" s="428"/>
      <c r="K77" s="73"/>
      <c r="L77" s="22">
        <v>7200</v>
      </c>
      <c r="M77" s="22"/>
      <c r="N77" s="22"/>
      <c r="O77" s="22"/>
      <c r="P77" s="52"/>
      <c r="Q77" s="77"/>
    </row>
    <row r="78" spans="1:17" s="39" customFormat="1" ht="17.25" customHeight="1">
      <c r="A78" s="15"/>
      <c r="B78" s="16"/>
      <c r="C78" s="16"/>
      <c r="D78" s="71"/>
      <c r="E78" s="424" t="s">
        <v>87</v>
      </c>
      <c r="F78" s="425"/>
      <c r="G78" s="425"/>
      <c r="H78" s="425"/>
      <c r="I78" s="425"/>
      <c r="J78" s="426" t="s">
        <v>88</v>
      </c>
      <c r="K78" s="426"/>
      <c r="L78" s="22">
        <v>7200</v>
      </c>
      <c r="M78" s="22"/>
      <c r="N78" s="22"/>
      <c r="O78" s="22"/>
      <c r="P78" s="52"/>
      <c r="Q78" s="77"/>
    </row>
    <row r="79" spans="1:17" s="39" customFormat="1" ht="17.25" customHeight="1">
      <c r="A79" s="15"/>
      <c r="B79" s="16"/>
      <c r="C79" s="16"/>
      <c r="D79" s="71"/>
      <c r="E79" s="427" t="s">
        <v>512</v>
      </c>
      <c r="F79" s="428"/>
      <c r="G79" s="428"/>
      <c r="H79" s="428"/>
      <c r="I79" s="428"/>
      <c r="J79" s="428"/>
      <c r="K79" s="73"/>
      <c r="L79" s="22">
        <f>SUM(L80:L82)</f>
        <v>216960</v>
      </c>
      <c r="M79" s="22"/>
      <c r="N79" s="22"/>
      <c r="O79" s="22"/>
      <c r="P79" s="52"/>
      <c r="Q79" s="77"/>
    </row>
    <row r="80" spans="1:17" s="39" customFormat="1" ht="17.25" customHeight="1">
      <c r="A80" s="15"/>
      <c r="B80" s="16"/>
      <c r="C80" s="16"/>
      <c r="D80" s="71"/>
      <c r="E80" s="424" t="s">
        <v>513</v>
      </c>
      <c r="F80" s="425"/>
      <c r="G80" s="425"/>
      <c r="H80" s="425"/>
      <c r="I80" s="425"/>
      <c r="J80" s="426" t="s">
        <v>669</v>
      </c>
      <c r="K80" s="426"/>
      <c r="L80" s="22">
        <v>51060</v>
      </c>
      <c r="M80" s="22"/>
      <c r="N80" s="22"/>
      <c r="O80" s="22"/>
      <c r="P80" s="52"/>
      <c r="Q80" s="77"/>
    </row>
    <row r="81" spans="1:17" s="39" customFormat="1" ht="17.25" customHeight="1">
      <c r="A81" s="15"/>
      <c r="B81" s="16"/>
      <c r="C81" s="16"/>
      <c r="D81" s="71"/>
      <c r="E81" s="424" t="s">
        <v>514</v>
      </c>
      <c r="F81" s="425"/>
      <c r="G81" s="425"/>
      <c r="H81" s="425"/>
      <c r="I81" s="425"/>
      <c r="J81" s="426" t="s">
        <v>670</v>
      </c>
      <c r="K81" s="426"/>
      <c r="L81" s="22">
        <v>75600</v>
      </c>
      <c r="M81" s="22"/>
      <c r="N81" s="22"/>
      <c r="O81" s="22"/>
      <c r="P81" s="52"/>
      <c r="Q81" s="77"/>
    </row>
    <row r="82" spans="1:17" s="39" customFormat="1" ht="17.25" customHeight="1">
      <c r="A82" s="15"/>
      <c r="B82" s="16"/>
      <c r="C82" s="16"/>
      <c r="D82" s="71"/>
      <c r="E82" s="424" t="s">
        <v>515</v>
      </c>
      <c r="F82" s="425"/>
      <c r="G82" s="425"/>
      <c r="H82" s="425"/>
      <c r="I82" s="425"/>
      <c r="J82" s="426" t="s">
        <v>671</v>
      </c>
      <c r="K82" s="426"/>
      <c r="L82" s="22">
        <v>90300</v>
      </c>
      <c r="M82" s="22"/>
      <c r="N82" s="22"/>
      <c r="O82" s="22"/>
      <c r="P82" s="52"/>
      <c r="Q82" s="77"/>
    </row>
    <row r="83" spans="1:17" s="39" customFormat="1" ht="17.25" customHeight="1">
      <c r="A83" s="15"/>
      <c r="B83" s="16"/>
      <c r="C83" s="16"/>
      <c r="D83" s="71"/>
      <c r="E83" s="427" t="s">
        <v>516</v>
      </c>
      <c r="F83" s="428"/>
      <c r="G83" s="428"/>
      <c r="H83" s="428"/>
      <c r="I83" s="428"/>
      <c r="J83" s="428"/>
      <c r="K83" s="73"/>
      <c r="L83" s="22">
        <f>SUM(L84:L85)</f>
        <v>6000</v>
      </c>
      <c r="M83" s="22"/>
      <c r="N83" s="22"/>
      <c r="O83" s="22"/>
      <c r="P83" s="52"/>
      <c r="Q83" s="77"/>
    </row>
    <row r="84" spans="1:17" s="39" customFormat="1" ht="17.25" customHeight="1">
      <c r="A84" s="15"/>
      <c r="B84" s="16"/>
      <c r="C84" s="16"/>
      <c r="D84" s="71"/>
      <c r="E84" s="424" t="s">
        <v>517</v>
      </c>
      <c r="F84" s="425"/>
      <c r="G84" s="425"/>
      <c r="H84" s="425"/>
      <c r="I84" s="425"/>
      <c r="J84" s="426" t="s">
        <v>518</v>
      </c>
      <c r="K84" s="426"/>
      <c r="L84" s="22">
        <v>1200</v>
      </c>
      <c r="M84" s="22"/>
      <c r="N84" s="22"/>
      <c r="O84" s="22"/>
      <c r="P84" s="52"/>
      <c r="Q84" s="77"/>
    </row>
    <row r="85" spans="1:17" s="39" customFormat="1" ht="17.25" customHeight="1">
      <c r="A85" s="15"/>
      <c r="B85" s="16"/>
      <c r="C85" s="16"/>
      <c r="D85" s="71"/>
      <c r="E85" s="424" t="s">
        <v>519</v>
      </c>
      <c r="F85" s="425"/>
      <c r="G85" s="425"/>
      <c r="H85" s="425"/>
      <c r="I85" s="425"/>
      <c r="J85" s="426" t="s">
        <v>672</v>
      </c>
      <c r="K85" s="426"/>
      <c r="L85" s="22">
        <v>4800</v>
      </c>
      <c r="M85" s="22"/>
      <c r="N85" s="22"/>
      <c r="O85" s="22"/>
      <c r="P85" s="52"/>
      <c r="Q85" s="77"/>
    </row>
    <row r="86" spans="1:17" s="39" customFormat="1" ht="17.25" customHeight="1">
      <c r="A86" s="15"/>
      <c r="B86" s="16"/>
      <c r="C86" s="16"/>
      <c r="D86" s="71"/>
      <c r="E86" s="424" t="s">
        <v>89</v>
      </c>
      <c r="F86" s="425"/>
      <c r="G86" s="425"/>
      <c r="H86" s="425"/>
      <c r="I86" s="425"/>
      <c r="J86" s="426" t="s">
        <v>673</v>
      </c>
      <c r="K86" s="426"/>
      <c r="L86" s="22">
        <v>13888</v>
      </c>
      <c r="M86" s="22"/>
      <c r="N86" s="22"/>
      <c r="O86" s="22"/>
      <c r="P86" s="52"/>
      <c r="Q86" s="77"/>
    </row>
    <row r="87" spans="1:17" s="39" customFormat="1" ht="17.25" customHeight="1">
      <c r="A87" s="15"/>
      <c r="B87" s="16"/>
      <c r="C87" s="16"/>
      <c r="D87" s="71"/>
      <c r="E87" s="424" t="s">
        <v>90</v>
      </c>
      <c r="F87" s="425"/>
      <c r="G87" s="425"/>
      <c r="H87" s="425"/>
      <c r="I87" s="425"/>
      <c r="J87" s="426" t="s">
        <v>91</v>
      </c>
      <c r="K87" s="426"/>
      <c r="L87" s="22">
        <v>1</v>
      </c>
      <c r="M87" s="22"/>
      <c r="N87" s="22"/>
      <c r="O87" s="22"/>
      <c r="P87" s="52"/>
      <c r="Q87" s="77"/>
    </row>
    <row r="88" spans="1:17" s="39" customFormat="1" ht="17.25" customHeight="1">
      <c r="A88" s="15"/>
      <c r="B88" s="16"/>
      <c r="C88" s="16"/>
      <c r="D88" s="71"/>
      <c r="E88" s="427" t="s">
        <v>92</v>
      </c>
      <c r="F88" s="428"/>
      <c r="G88" s="428"/>
      <c r="H88" s="428"/>
      <c r="I88" s="428"/>
      <c r="J88" s="428"/>
      <c r="K88" s="73"/>
      <c r="L88" s="22">
        <f>L89+L93+L111</f>
        <v>116740</v>
      </c>
      <c r="M88" s="22"/>
      <c r="N88" s="22"/>
      <c r="O88" s="22"/>
      <c r="P88" s="52"/>
      <c r="Q88" s="77"/>
    </row>
    <row r="89" spans="1:17" s="39" customFormat="1" ht="17.25" customHeight="1">
      <c r="A89" s="15"/>
      <c r="B89" s="16"/>
      <c r="C89" s="16"/>
      <c r="D89" s="71"/>
      <c r="E89" s="427" t="s">
        <v>93</v>
      </c>
      <c r="F89" s="428"/>
      <c r="G89" s="428"/>
      <c r="H89" s="428"/>
      <c r="I89" s="428"/>
      <c r="J89" s="428"/>
      <c r="K89" s="73"/>
      <c r="L89" s="22">
        <f>L90</f>
        <v>79565</v>
      </c>
      <c r="M89" s="22"/>
      <c r="N89" s="22"/>
      <c r="O89" s="22"/>
      <c r="P89" s="52"/>
      <c r="Q89" s="77"/>
    </row>
    <row r="90" spans="1:17" s="39" customFormat="1" ht="17.25" customHeight="1">
      <c r="A90" s="15"/>
      <c r="B90" s="16"/>
      <c r="C90" s="16"/>
      <c r="D90" s="71"/>
      <c r="E90" s="427" t="s">
        <v>94</v>
      </c>
      <c r="F90" s="428"/>
      <c r="G90" s="428"/>
      <c r="H90" s="428"/>
      <c r="I90" s="428"/>
      <c r="J90" s="428"/>
      <c r="K90" s="73"/>
      <c r="L90" s="22">
        <f>SUM(L91:L92)</f>
        <v>79565</v>
      </c>
      <c r="M90" s="22"/>
      <c r="N90" s="22"/>
      <c r="O90" s="22"/>
      <c r="P90" s="52"/>
      <c r="Q90" s="77"/>
    </row>
    <row r="91" spans="1:17" s="39" customFormat="1" ht="17.25" customHeight="1">
      <c r="A91" s="15"/>
      <c r="B91" s="16"/>
      <c r="C91" s="16"/>
      <c r="D91" s="71"/>
      <c r="E91" s="424" t="s">
        <v>674</v>
      </c>
      <c r="F91" s="425"/>
      <c r="G91" s="425"/>
      <c r="H91" s="425"/>
      <c r="I91" s="425"/>
      <c r="J91" s="426" t="s">
        <v>675</v>
      </c>
      <c r="K91" s="426"/>
      <c r="L91" s="22">
        <v>55920</v>
      </c>
      <c r="M91" s="22"/>
      <c r="N91" s="22"/>
      <c r="O91" s="22"/>
      <c r="P91" s="52"/>
      <c r="Q91" s="77"/>
    </row>
    <row r="92" spans="1:17" s="39" customFormat="1" ht="17.25" customHeight="1">
      <c r="A92" s="15"/>
      <c r="B92" s="16"/>
      <c r="C92" s="16"/>
      <c r="D92" s="71"/>
      <c r="E92" s="424" t="s">
        <v>676</v>
      </c>
      <c r="F92" s="425"/>
      <c r="G92" s="425"/>
      <c r="H92" s="425"/>
      <c r="I92" s="425"/>
      <c r="J92" s="426" t="s">
        <v>677</v>
      </c>
      <c r="K92" s="426"/>
      <c r="L92" s="22">
        <v>23645</v>
      </c>
      <c r="M92" s="22"/>
      <c r="N92" s="22"/>
      <c r="O92" s="22"/>
      <c r="P92" s="52"/>
      <c r="Q92" s="77"/>
    </row>
    <row r="93" spans="1:17" s="39" customFormat="1" ht="17.25" customHeight="1">
      <c r="A93" s="15"/>
      <c r="B93" s="16"/>
      <c r="C93" s="16"/>
      <c r="D93" s="71"/>
      <c r="E93" s="427" t="s">
        <v>95</v>
      </c>
      <c r="F93" s="428"/>
      <c r="G93" s="428"/>
      <c r="H93" s="428"/>
      <c r="I93" s="428"/>
      <c r="J93" s="428"/>
      <c r="K93" s="73"/>
      <c r="L93" s="22">
        <f>L94+L96+L98+L99+L102+L103+L105+L106+L107+L110</f>
        <v>32855</v>
      </c>
      <c r="M93" s="22"/>
      <c r="N93" s="22"/>
      <c r="O93" s="22"/>
      <c r="P93" s="52"/>
      <c r="Q93" s="77"/>
    </row>
    <row r="94" spans="1:17" s="39" customFormat="1" ht="17.25" customHeight="1">
      <c r="A94" s="15"/>
      <c r="B94" s="16"/>
      <c r="C94" s="16"/>
      <c r="D94" s="71"/>
      <c r="E94" s="427" t="s">
        <v>96</v>
      </c>
      <c r="F94" s="428"/>
      <c r="G94" s="428"/>
      <c r="H94" s="428"/>
      <c r="I94" s="428"/>
      <c r="J94" s="428"/>
      <c r="K94" s="73"/>
      <c r="L94" s="22">
        <v>1560</v>
      </c>
      <c r="M94" s="22"/>
      <c r="N94" s="22"/>
      <c r="O94" s="22"/>
      <c r="P94" s="52"/>
      <c r="Q94" s="77"/>
    </row>
    <row r="95" spans="1:17" s="39" customFormat="1" ht="17.25" customHeight="1">
      <c r="A95" s="15"/>
      <c r="B95" s="16"/>
      <c r="C95" s="16"/>
      <c r="D95" s="71"/>
      <c r="E95" s="424" t="s">
        <v>97</v>
      </c>
      <c r="F95" s="425"/>
      <c r="G95" s="425"/>
      <c r="H95" s="425"/>
      <c r="I95" s="425"/>
      <c r="J95" s="426" t="s">
        <v>98</v>
      </c>
      <c r="K95" s="426"/>
      <c r="L95" s="22">
        <v>1560</v>
      </c>
      <c r="M95" s="22"/>
      <c r="N95" s="22"/>
      <c r="O95" s="22"/>
      <c r="P95" s="52"/>
      <c r="Q95" s="77"/>
    </row>
    <row r="96" spans="1:17" s="39" customFormat="1" ht="17.25" customHeight="1">
      <c r="A96" s="15"/>
      <c r="B96" s="16"/>
      <c r="C96" s="16"/>
      <c r="D96" s="71"/>
      <c r="E96" s="427" t="s">
        <v>99</v>
      </c>
      <c r="F96" s="428"/>
      <c r="G96" s="428"/>
      <c r="H96" s="428"/>
      <c r="I96" s="428"/>
      <c r="J96" s="428"/>
      <c r="K96" s="73"/>
      <c r="L96" s="22">
        <v>960</v>
      </c>
      <c r="M96" s="22"/>
      <c r="N96" s="22"/>
      <c r="O96" s="22"/>
      <c r="P96" s="52"/>
      <c r="Q96" s="77"/>
    </row>
    <row r="97" spans="1:17" s="39" customFormat="1" ht="17.25" customHeight="1">
      <c r="A97" s="15"/>
      <c r="B97" s="16"/>
      <c r="C97" s="16"/>
      <c r="D97" s="71"/>
      <c r="E97" s="424" t="s">
        <v>100</v>
      </c>
      <c r="F97" s="425"/>
      <c r="G97" s="425"/>
      <c r="H97" s="425"/>
      <c r="I97" s="425"/>
      <c r="J97" s="426" t="s">
        <v>101</v>
      </c>
      <c r="K97" s="426"/>
      <c r="L97" s="22">
        <v>960</v>
      </c>
      <c r="M97" s="22"/>
      <c r="N97" s="22"/>
      <c r="O97" s="22"/>
      <c r="P97" s="52"/>
      <c r="Q97" s="77"/>
    </row>
    <row r="98" spans="1:17" s="39" customFormat="1" ht="17.25" customHeight="1">
      <c r="A98" s="15"/>
      <c r="B98" s="16"/>
      <c r="C98" s="16"/>
      <c r="D98" s="71"/>
      <c r="E98" s="424" t="s">
        <v>102</v>
      </c>
      <c r="F98" s="425"/>
      <c r="G98" s="425"/>
      <c r="H98" s="425"/>
      <c r="I98" s="425"/>
      <c r="J98" s="426" t="s">
        <v>678</v>
      </c>
      <c r="K98" s="426"/>
      <c r="L98" s="22">
        <v>6631</v>
      </c>
      <c r="M98" s="22"/>
      <c r="N98" s="22"/>
      <c r="O98" s="22"/>
      <c r="P98" s="52"/>
      <c r="Q98" s="77"/>
    </row>
    <row r="99" spans="1:17" s="39" customFormat="1" ht="17.25" customHeight="1">
      <c r="A99" s="15"/>
      <c r="B99" s="16"/>
      <c r="C99" s="16"/>
      <c r="D99" s="71"/>
      <c r="E99" s="427" t="s">
        <v>103</v>
      </c>
      <c r="F99" s="428"/>
      <c r="G99" s="428"/>
      <c r="H99" s="428"/>
      <c r="I99" s="428"/>
      <c r="J99" s="428"/>
      <c r="K99" s="73"/>
      <c r="L99" s="22">
        <f>SUM(L100:L101)</f>
        <v>4692</v>
      </c>
      <c r="M99" s="22"/>
      <c r="N99" s="22"/>
      <c r="O99" s="22"/>
      <c r="P99" s="52"/>
      <c r="Q99" s="77"/>
    </row>
    <row r="100" spans="1:17" s="39" customFormat="1" ht="17.25" customHeight="1">
      <c r="A100" s="15"/>
      <c r="B100" s="16"/>
      <c r="C100" s="16"/>
      <c r="D100" s="71"/>
      <c r="E100" s="424" t="s">
        <v>104</v>
      </c>
      <c r="F100" s="425"/>
      <c r="G100" s="425"/>
      <c r="H100" s="425"/>
      <c r="I100" s="425"/>
      <c r="J100" s="426" t="s">
        <v>679</v>
      </c>
      <c r="K100" s="426"/>
      <c r="L100" s="51">
        <v>2433</v>
      </c>
      <c r="M100" s="22"/>
      <c r="N100" s="22"/>
      <c r="O100" s="22"/>
      <c r="P100" s="52"/>
      <c r="Q100" s="77"/>
    </row>
    <row r="101" spans="1:17" s="39" customFormat="1" ht="17.25" customHeight="1">
      <c r="A101" s="15"/>
      <c r="B101" s="16"/>
      <c r="C101" s="16"/>
      <c r="D101" s="71"/>
      <c r="E101" s="424" t="s">
        <v>105</v>
      </c>
      <c r="F101" s="425"/>
      <c r="G101" s="425"/>
      <c r="H101" s="425"/>
      <c r="I101" s="425"/>
      <c r="J101" s="426" t="s">
        <v>680</v>
      </c>
      <c r="K101" s="426"/>
      <c r="L101" s="22">
        <v>2259</v>
      </c>
      <c r="M101" s="22"/>
      <c r="N101" s="22"/>
      <c r="O101" s="22"/>
      <c r="P101" s="52"/>
      <c r="Q101" s="77"/>
    </row>
    <row r="102" spans="1:17" s="39" customFormat="1" ht="17.25" customHeight="1">
      <c r="A102" s="15"/>
      <c r="B102" s="16"/>
      <c r="C102" s="16"/>
      <c r="D102" s="71"/>
      <c r="E102" s="424" t="s">
        <v>46</v>
      </c>
      <c r="F102" s="425"/>
      <c r="G102" s="425"/>
      <c r="H102" s="425"/>
      <c r="I102" s="425"/>
      <c r="J102" s="426" t="s">
        <v>681</v>
      </c>
      <c r="K102" s="426"/>
      <c r="L102" s="22">
        <v>2217</v>
      </c>
      <c r="M102" s="22"/>
      <c r="N102" s="22"/>
      <c r="O102" s="22"/>
      <c r="P102" s="52"/>
      <c r="Q102" s="77"/>
    </row>
    <row r="103" spans="1:17" s="39" customFormat="1" ht="17.25" customHeight="1">
      <c r="A103" s="15"/>
      <c r="B103" s="16"/>
      <c r="C103" s="16"/>
      <c r="D103" s="71"/>
      <c r="E103" s="424" t="s">
        <v>106</v>
      </c>
      <c r="F103" s="425"/>
      <c r="G103" s="425"/>
      <c r="H103" s="425"/>
      <c r="I103" s="425"/>
      <c r="J103" s="426" t="s">
        <v>682</v>
      </c>
      <c r="K103" s="426"/>
      <c r="L103" s="22">
        <v>951</v>
      </c>
      <c r="M103" s="22"/>
      <c r="N103" s="22"/>
      <c r="O103" s="22"/>
      <c r="P103" s="52"/>
      <c r="Q103" s="77"/>
    </row>
    <row r="104" spans="1:17" s="39" customFormat="1" ht="17.25" customHeight="1">
      <c r="A104" s="15"/>
      <c r="B104" s="16"/>
      <c r="C104" s="16"/>
      <c r="D104" s="72"/>
      <c r="E104" s="428" t="s">
        <v>107</v>
      </c>
      <c r="F104" s="428"/>
      <c r="G104" s="428"/>
      <c r="H104" s="428"/>
      <c r="I104" s="428"/>
      <c r="J104" s="428"/>
      <c r="K104" s="428"/>
      <c r="L104" s="429"/>
      <c r="M104" s="72"/>
      <c r="N104" s="22"/>
      <c r="O104" s="22"/>
      <c r="P104" s="52"/>
      <c r="Q104" s="77"/>
    </row>
    <row r="105" spans="1:17" s="39" customFormat="1" ht="17.25" customHeight="1">
      <c r="A105" s="15"/>
      <c r="B105" s="16"/>
      <c r="C105" s="16"/>
      <c r="D105" s="71"/>
      <c r="E105" s="430" t="s">
        <v>683</v>
      </c>
      <c r="F105" s="431"/>
      <c r="G105" s="431"/>
      <c r="H105" s="431"/>
      <c r="I105" s="431"/>
      <c r="J105" s="431"/>
      <c r="K105" s="431"/>
      <c r="L105" s="22">
        <v>476</v>
      </c>
      <c r="M105" s="22"/>
      <c r="N105" s="41"/>
      <c r="O105" s="41"/>
      <c r="P105" s="52"/>
      <c r="Q105" s="77"/>
    </row>
    <row r="106" spans="1:17" s="39" customFormat="1" ht="17.25" customHeight="1">
      <c r="A106" s="15"/>
      <c r="B106" s="16"/>
      <c r="C106" s="16"/>
      <c r="D106" s="71"/>
      <c r="E106" s="424" t="s">
        <v>108</v>
      </c>
      <c r="F106" s="425"/>
      <c r="G106" s="425"/>
      <c r="H106" s="425"/>
      <c r="I106" s="425"/>
      <c r="J106" s="426" t="s">
        <v>684</v>
      </c>
      <c r="K106" s="426"/>
      <c r="L106" s="22">
        <v>2851</v>
      </c>
      <c r="M106" s="22"/>
      <c r="N106" s="22"/>
      <c r="O106" s="22"/>
      <c r="P106" s="52"/>
      <c r="Q106" s="77"/>
    </row>
    <row r="107" spans="1:17" s="39" customFormat="1" ht="17.25" customHeight="1">
      <c r="A107" s="15"/>
      <c r="B107" s="16"/>
      <c r="C107" s="16"/>
      <c r="D107" s="71"/>
      <c r="E107" s="427" t="s">
        <v>109</v>
      </c>
      <c r="F107" s="428"/>
      <c r="G107" s="428"/>
      <c r="H107" s="428"/>
      <c r="I107" s="428"/>
      <c r="J107" s="428"/>
      <c r="K107" s="73"/>
      <c r="L107" s="22">
        <f>SUM(L108:L109)</f>
        <v>11317</v>
      </c>
      <c r="M107" s="22"/>
      <c r="N107" s="22"/>
      <c r="O107" s="22"/>
      <c r="P107" s="52"/>
      <c r="Q107" s="77"/>
    </row>
    <row r="108" spans="1:17" s="39" customFormat="1" ht="17.25" customHeight="1">
      <c r="A108" s="15"/>
      <c r="B108" s="16"/>
      <c r="C108" s="16"/>
      <c r="D108" s="71"/>
      <c r="E108" s="424" t="s">
        <v>110</v>
      </c>
      <c r="F108" s="425"/>
      <c r="G108" s="425"/>
      <c r="H108" s="425"/>
      <c r="I108" s="425"/>
      <c r="J108" s="426" t="s">
        <v>685</v>
      </c>
      <c r="K108" s="426"/>
      <c r="L108" s="22">
        <v>7957</v>
      </c>
      <c r="M108" s="22"/>
      <c r="N108" s="22"/>
      <c r="O108" s="22"/>
      <c r="P108" s="52"/>
      <c r="Q108" s="77"/>
    </row>
    <row r="109" spans="1:17" s="39" customFormat="1" ht="17.25" customHeight="1">
      <c r="A109" s="15"/>
      <c r="B109" s="16"/>
      <c r="C109" s="16"/>
      <c r="D109" s="71"/>
      <c r="E109" s="424" t="s">
        <v>111</v>
      </c>
      <c r="F109" s="425"/>
      <c r="G109" s="425"/>
      <c r="H109" s="425"/>
      <c r="I109" s="425"/>
      <c r="J109" s="426" t="s">
        <v>112</v>
      </c>
      <c r="K109" s="426"/>
      <c r="L109" s="22">
        <v>3360</v>
      </c>
      <c r="M109" s="22"/>
      <c r="N109" s="22"/>
      <c r="O109" s="22"/>
      <c r="P109" s="52"/>
      <c r="Q109" s="77"/>
    </row>
    <row r="110" spans="1:17" s="39" customFormat="1" ht="17.25" customHeight="1">
      <c r="A110" s="15"/>
      <c r="B110" s="16"/>
      <c r="C110" s="16"/>
      <c r="D110" s="71"/>
      <c r="E110" s="424" t="s">
        <v>113</v>
      </c>
      <c r="F110" s="425"/>
      <c r="G110" s="425"/>
      <c r="H110" s="425"/>
      <c r="I110" s="425"/>
      <c r="J110" s="426" t="s">
        <v>60</v>
      </c>
      <c r="K110" s="426"/>
      <c r="L110" s="22">
        <v>1200</v>
      </c>
      <c r="M110" s="22"/>
      <c r="N110" s="22"/>
      <c r="O110" s="22"/>
      <c r="P110" s="52"/>
      <c r="Q110" s="77"/>
    </row>
    <row r="111" spans="1:17" s="39" customFormat="1" ht="17.25" customHeight="1">
      <c r="A111" s="15"/>
      <c r="B111" s="16"/>
      <c r="C111" s="16"/>
      <c r="D111" s="71"/>
      <c r="E111" s="427" t="s">
        <v>520</v>
      </c>
      <c r="F111" s="428"/>
      <c r="G111" s="428"/>
      <c r="H111" s="428"/>
      <c r="I111" s="428"/>
      <c r="J111" s="428"/>
      <c r="K111" s="73"/>
      <c r="L111" s="22">
        <f>+L112+L113</f>
        <v>4320</v>
      </c>
      <c r="M111" s="22"/>
      <c r="N111" s="22"/>
      <c r="O111" s="22"/>
      <c r="P111" s="52"/>
      <c r="Q111" s="77"/>
    </row>
    <row r="112" spans="1:17" s="39" customFormat="1" ht="17.25" customHeight="1">
      <c r="A112" s="15"/>
      <c r="B112" s="16"/>
      <c r="C112" s="16"/>
      <c r="D112" s="71"/>
      <c r="E112" s="424" t="s">
        <v>41</v>
      </c>
      <c r="F112" s="425"/>
      <c r="G112" s="425"/>
      <c r="H112" s="425"/>
      <c r="I112" s="425"/>
      <c r="J112" s="426" t="s">
        <v>686</v>
      </c>
      <c r="K112" s="426"/>
      <c r="L112" s="22">
        <v>2220</v>
      </c>
      <c r="M112" s="22"/>
      <c r="N112" s="22"/>
      <c r="O112" s="22"/>
      <c r="P112" s="52"/>
      <c r="Q112" s="77"/>
    </row>
    <row r="113" spans="1:17" s="39" customFormat="1" ht="17.25" customHeight="1">
      <c r="A113" s="15"/>
      <c r="B113" s="16"/>
      <c r="C113" s="16"/>
      <c r="D113" s="71"/>
      <c r="E113" s="424" t="s">
        <v>521</v>
      </c>
      <c r="F113" s="425"/>
      <c r="G113" s="425"/>
      <c r="H113" s="425"/>
      <c r="I113" s="425"/>
      <c r="J113" s="426" t="s">
        <v>687</v>
      </c>
      <c r="K113" s="426"/>
      <c r="L113" s="22">
        <v>2100</v>
      </c>
      <c r="M113" s="22"/>
      <c r="N113" s="22"/>
      <c r="O113" s="22"/>
      <c r="P113" s="52"/>
      <c r="Q113" s="77"/>
    </row>
    <row r="114" spans="1:17" s="39" customFormat="1" ht="17.25" customHeight="1">
      <c r="A114" s="36"/>
      <c r="B114" s="37" t="s">
        <v>8</v>
      </c>
      <c r="C114" s="37"/>
      <c r="D114" s="38"/>
      <c r="E114" s="407" t="s">
        <v>114</v>
      </c>
      <c r="F114" s="407"/>
      <c r="G114" s="407"/>
      <c r="H114" s="407"/>
      <c r="I114" s="407" t="s">
        <v>115</v>
      </c>
      <c r="J114" s="407"/>
      <c r="K114" s="407"/>
      <c r="L114" s="408"/>
      <c r="M114" s="50">
        <f>+L115+L138+L156+L174+L190+L211+L230</f>
        <v>4358520</v>
      </c>
      <c r="N114" s="21">
        <v>3842924</v>
      </c>
      <c r="O114" s="21">
        <f>+M114-N114</f>
        <v>515596</v>
      </c>
      <c r="P114" s="52"/>
      <c r="Q114" s="77"/>
    </row>
    <row r="115" spans="1:17" s="39" customFormat="1" ht="17.25" customHeight="1">
      <c r="A115" s="15"/>
      <c r="B115" s="16"/>
      <c r="C115" s="16"/>
      <c r="D115" s="71"/>
      <c r="E115" s="427" t="s">
        <v>688</v>
      </c>
      <c r="F115" s="428"/>
      <c r="G115" s="428"/>
      <c r="H115" s="428"/>
      <c r="I115" s="428"/>
      <c r="J115" s="428"/>
      <c r="K115" s="73"/>
      <c r="L115" s="22">
        <f>L116+L117+L118+L119+L125+L126+L127+L128+L129+L131+L133+L135+L137</f>
        <v>1417267</v>
      </c>
      <c r="M115" s="22"/>
      <c r="N115" s="22"/>
      <c r="O115" s="22"/>
      <c r="P115" s="52"/>
      <c r="Q115" s="77"/>
    </row>
    <row r="116" spans="1:17" s="39" customFormat="1" ht="17.25" customHeight="1">
      <c r="A116" s="15"/>
      <c r="B116" s="16"/>
      <c r="C116" s="16"/>
      <c r="D116" s="71"/>
      <c r="E116" s="424" t="s">
        <v>689</v>
      </c>
      <c r="F116" s="425"/>
      <c r="G116" s="425"/>
      <c r="H116" s="425"/>
      <c r="I116" s="425"/>
      <c r="J116" s="426" t="s">
        <v>690</v>
      </c>
      <c r="K116" s="426"/>
      <c r="L116" s="22">
        <v>908030</v>
      </c>
      <c r="M116" s="22"/>
      <c r="N116" s="22"/>
      <c r="O116" s="22"/>
      <c r="P116" s="52"/>
      <c r="Q116" s="77"/>
    </row>
    <row r="117" spans="1:17" s="39" customFormat="1" ht="17.25" customHeight="1">
      <c r="A117" s="15"/>
      <c r="B117" s="16"/>
      <c r="C117" s="16"/>
      <c r="D117" s="71"/>
      <c r="E117" s="424" t="s">
        <v>116</v>
      </c>
      <c r="F117" s="425"/>
      <c r="G117" s="425"/>
      <c r="H117" s="425"/>
      <c r="I117" s="425"/>
      <c r="J117" s="426" t="s">
        <v>691</v>
      </c>
      <c r="K117" s="426"/>
      <c r="L117" s="22">
        <v>90803</v>
      </c>
      <c r="M117" s="22"/>
      <c r="N117" s="22"/>
      <c r="O117" s="22"/>
      <c r="P117" s="52"/>
      <c r="Q117" s="77"/>
    </row>
    <row r="118" spans="1:17" s="39" customFormat="1" ht="17.25" customHeight="1">
      <c r="A118" s="15"/>
      <c r="B118" s="16"/>
      <c r="C118" s="16"/>
      <c r="D118" s="71"/>
      <c r="E118" s="424" t="s">
        <v>117</v>
      </c>
      <c r="F118" s="425"/>
      <c r="G118" s="425"/>
      <c r="H118" s="425"/>
      <c r="I118" s="425"/>
      <c r="J118" s="426" t="s">
        <v>118</v>
      </c>
      <c r="K118" s="426"/>
      <c r="L118" s="22">
        <v>53760</v>
      </c>
      <c r="M118" s="22"/>
      <c r="N118" s="22"/>
      <c r="O118" s="22"/>
      <c r="P118" s="52"/>
      <c r="Q118" s="77"/>
    </row>
    <row r="119" spans="1:17" s="39" customFormat="1" ht="17.25" customHeight="1">
      <c r="A119" s="15"/>
      <c r="B119" s="16"/>
      <c r="C119" s="16"/>
      <c r="D119" s="71"/>
      <c r="E119" s="427" t="s">
        <v>33</v>
      </c>
      <c r="F119" s="428"/>
      <c r="G119" s="428"/>
      <c r="H119" s="428"/>
      <c r="I119" s="428"/>
      <c r="J119" s="428"/>
      <c r="K119" s="73"/>
      <c r="L119" s="22">
        <f>SUM(L120:L124)</f>
        <v>18840</v>
      </c>
      <c r="M119" s="22"/>
      <c r="N119" s="22"/>
      <c r="O119" s="22"/>
      <c r="P119" s="52"/>
      <c r="Q119" s="77"/>
    </row>
    <row r="120" spans="1:17" s="39" customFormat="1" ht="17.25" customHeight="1">
      <c r="A120" s="15"/>
      <c r="B120" s="16"/>
      <c r="C120" s="16"/>
      <c r="D120" s="71"/>
      <c r="E120" s="424" t="s">
        <v>34</v>
      </c>
      <c r="F120" s="425"/>
      <c r="G120" s="425"/>
      <c r="H120" s="425"/>
      <c r="I120" s="425"/>
      <c r="J120" s="426" t="s">
        <v>88</v>
      </c>
      <c r="K120" s="426"/>
      <c r="L120" s="22">
        <v>7200</v>
      </c>
      <c r="M120" s="22"/>
      <c r="N120" s="22"/>
      <c r="O120" s="22"/>
      <c r="P120" s="52"/>
      <c r="Q120" s="77"/>
    </row>
    <row r="121" spans="1:17" s="39" customFormat="1" ht="17.25" customHeight="1">
      <c r="A121" s="15"/>
      <c r="B121" s="16"/>
      <c r="C121" s="16"/>
      <c r="D121" s="71"/>
      <c r="E121" s="424" t="s">
        <v>646</v>
      </c>
      <c r="F121" s="425"/>
      <c r="G121" s="425"/>
      <c r="H121" s="425"/>
      <c r="I121" s="425"/>
      <c r="J121" s="426" t="s">
        <v>692</v>
      </c>
      <c r="K121" s="426"/>
      <c r="L121" s="22">
        <v>1200</v>
      </c>
      <c r="M121" s="22"/>
      <c r="N121" s="22"/>
      <c r="O121" s="22"/>
      <c r="P121" s="52"/>
      <c r="Q121" s="77"/>
    </row>
    <row r="122" spans="1:17" s="39" customFormat="1" ht="17.25" customHeight="1">
      <c r="A122" s="15"/>
      <c r="B122" s="16"/>
      <c r="C122" s="16"/>
      <c r="D122" s="71"/>
      <c r="E122" s="424" t="s">
        <v>648</v>
      </c>
      <c r="F122" s="425"/>
      <c r="G122" s="425"/>
      <c r="H122" s="425"/>
      <c r="I122" s="425"/>
      <c r="J122" s="426" t="s">
        <v>693</v>
      </c>
      <c r="K122" s="426"/>
      <c r="L122" s="22">
        <v>3600</v>
      </c>
      <c r="M122" s="22"/>
      <c r="N122" s="22"/>
      <c r="O122" s="22"/>
      <c r="P122" s="52"/>
      <c r="Q122" s="77"/>
    </row>
    <row r="123" spans="1:17" s="39" customFormat="1" ht="17.25" customHeight="1">
      <c r="A123" s="15"/>
      <c r="B123" s="16"/>
      <c r="C123" s="16"/>
      <c r="D123" s="71"/>
      <c r="E123" s="424" t="s">
        <v>37</v>
      </c>
      <c r="F123" s="425"/>
      <c r="G123" s="425"/>
      <c r="H123" s="425"/>
      <c r="I123" s="425"/>
      <c r="J123" s="426" t="s">
        <v>694</v>
      </c>
      <c r="K123" s="426"/>
      <c r="L123" s="22">
        <v>4200</v>
      </c>
      <c r="M123" s="22"/>
      <c r="N123" s="22"/>
      <c r="O123" s="22"/>
      <c r="P123" s="52"/>
      <c r="Q123" s="77"/>
    </row>
    <row r="124" spans="1:17" s="39" customFormat="1" ht="17.25" customHeight="1">
      <c r="A124" s="15"/>
      <c r="B124" s="16"/>
      <c r="C124" s="16"/>
      <c r="D124" s="71"/>
      <c r="E124" s="424" t="s">
        <v>119</v>
      </c>
      <c r="F124" s="425"/>
      <c r="G124" s="425"/>
      <c r="H124" s="425"/>
      <c r="I124" s="425"/>
      <c r="J124" s="426" t="s">
        <v>695</v>
      </c>
      <c r="K124" s="426"/>
      <c r="L124" s="22">
        <v>2640</v>
      </c>
      <c r="M124" s="22"/>
      <c r="N124" s="22"/>
      <c r="O124" s="22"/>
      <c r="P124" s="52"/>
      <c r="Q124" s="77"/>
    </row>
    <row r="125" spans="1:17" s="39" customFormat="1" ht="17.25" customHeight="1">
      <c r="A125" s="15"/>
      <c r="B125" s="16"/>
      <c r="C125" s="16"/>
      <c r="D125" s="71"/>
      <c r="E125" s="424" t="s">
        <v>57</v>
      </c>
      <c r="F125" s="425"/>
      <c r="G125" s="425"/>
      <c r="H125" s="425"/>
      <c r="I125" s="425"/>
      <c r="J125" s="426" t="s">
        <v>120</v>
      </c>
      <c r="K125" s="426"/>
      <c r="L125" s="22">
        <v>4800</v>
      </c>
      <c r="M125" s="22"/>
      <c r="N125" s="22"/>
      <c r="O125" s="22"/>
      <c r="P125" s="52"/>
      <c r="Q125" s="77"/>
    </row>
    <row r="126" spans="1:17" s="39" customFormat="1" ht="17.25" customHeight="1">
      <c r="A126" s="15"/>
      <c r="B126" s="16"/>
      <c r="C126" s="16"/>
      <c r="D126" s="71"/>
      <c r="E126" s="424" t="s">
        <v>696</v>
      </c>
      <c r="F126" s="425"/>
      <c r="G126" s="425"/>
      <c r="H126" s="425"/>
      <c r="I126" s="425"/>
      <c r="J126" s="426" t="s">
        <v>121</v>
      </c>
      <c r="K126" s="426"/>
      <c r="L126" s="22">
        <v>2880</v>
      </c>
      <c r="M126" s="22"/>
      <c r="N126" s="22"/>
      <c r="O126" s="22"/>
      <c r="P126" s="52"/>
      <c r="Q126" s="77"/>
    </row>
    <row r="127" spans="1:17" s="39" customFormat="1" ht="17.25" customHeight="1">
      <c r="A127" s="15"/>
      <c r="B127" s="16"/>
      <c r="C127" s="16"/>
      <c r="D127" s="71"/>
      <c r="E127" s="424" t="s">
        <v>122</v>
      </c>
      <c r="F127" s="425"/>
      <c r="G127" s="425"/>
      <c r="H127" s="425"/>
      <c r="I127" s="425"/>
      <c r="J127" s="426" t="s">
        <v>123</v>
      </c>
      <c r="K127" s="426"/>
      <c r="L127" s="22">
        <v>1080</v>
      </c>
      <c r="M127" s="22"/>
      <c r="N127" s="22"/>
      <c r="O127" s="22"/>
      <c r="P127" s="52"/>
      <c r="Q127" s="77"/>
    </row>
    <row r="128" spans="1:17" s="39" customFormat="1" ht="17.25" customHeight="1">
      <c r="A128" s="15"/>
      <c r="B128" s="16"/>
      <c r="C128" s="16"/>
      <c r="D128" s="71"/>
      <c r="E128" s="424" t="s">
        <v>124</v>
      </c>
      <c r="F128" s="425"/>
      <c r="G128" s="425"/>
      <c r="H128" s="425"/>
      <c r="I128" s="425"/>
      <c r="J128" s="426" t="s">
        <v>71</v>
      </c>
      <c r="K128" s="426"/>
      <c r="L128" s="22">
        <v>3600</v>
      </c>
      <c r="M128" s="22"/>
      <c r="N128" s="22"/>
      <c r="O128" s="22"/>
      <c r="P128" s="52"/>
      <c r="Q128" s="77"/>
    </row>
    <row r="129" spans="1:17" s="39" customFormat="1" ht="17.25" customHeight="1">
      <c r="A129" s="15"/>
      <c r="B129" s="16"/>
      <c r="C129" s="16"/>
      <c r="D129" s="71"/>
      <c r="E129" s="424" t="s">
        <v>45</v>
      </c>
      <c r="F129" s="425"/>
      <c r="G129" s="425"/>
      <c r="H129" s="425"/>
      <c r="I129" s="425"/>
      <c r="J129" s="426" t="s">
        <v>697</v>
      </c>
      <c r="K129" s="426"/>
      <c r="L129" s="22">
        <v>23699</v>
      </c>
      <c r="M129" s="22"/>
      <c r="N129" s="22"/>
      <c r="O129" s="22"/>
      <c r="P129" s="52"/>
      <c r="Q129" s="77"/>
    </row>
    <row r="130" spans="1:17" s="39" customFormat="1" ht="17.25" customHeight="1">
      <c r="A130" s="15"/>
      <c r="B130" s="16"/>
      <c r="C130" s="16"/>
      <c r="D130" s="72"/>
      <c r="E130" s="428" t="s">
        <v>40</v>
      </c>
      <c r="F130" s="428"/>
      <c r="G130" s="428"/>
      <c r="H130" s="428"/>
      <c r="I130" s="428"/>
      <c r="J130" s="428"/>
      <c r="K130" s="428"/>
      <c r="L130" s="429"/>
      <c r="M130" s="72"/>
      <c r="N130" s="22"/>
      <c r="O130" s="22"/>
      <c r="P130" s="52"/>
      <c r="Q130" s="77"/>
    </row>
    <row r="131" spans="1:17" s="39" customFormat="1" ht="17.25" customHeight="1">
      <c r="A131" s="15"/>
      <c r="B131" s="16"/>
      <c r="C131" s="16"/>
      <c r="D131" s="71"/>
      <c r="E131" s="430" t="s">
        <v>698</v>
      </c>
      <c r="F131" s="431"/>
      <c r="G131" s="431"/>
      <c r="H131" s="431"/>
      <c r="I131" s="431"/>
      <c r="J131" s="431"/>
      <c r="K131" s="431"/>
      <c r="L131" s="22">
        <v>152348</v>
      </c>
      <c r="M131" s="22"/>
      <c r="N131" s="41"/>
      <c r="O131" s="41"/>
      <c r="P131" s="52"/>
      <c r="Q131" s="77"/>
    </row>
    <row r="132" spans="1:17" s="39" customFormat="1" ht="17.25" customHeight="1">
      <c r="A132" s="15"/>
      <c r="B132" s="16"/>
      <c r="C132" s="16"/>
      <c r="D132" s="72"/>
      <c r="E132" s="428" t="s">
        <v>47</v>
      </c>
      <c r="F132" s="428"/>
      <c r="G132" s="428"/>
      <c r="H132" s="428"/>
      <c r="I132" s="428"/>
      <c r="J132" s="428"/>
      <c r="K132" s="428"/>
      <c r="L132" s="429"/>
      <c r="M132" s="72"/>
      <c r="N132" s="22"/>
      <c r="O132" s="22"/>
      <c r="P132" s="52"/>
      <c r="Q132" s="77"/>
    </row>
    <row r="133" spans="1:17" s="39" customFormat="1" ht="17.25" customHeight="1">
      <c r="A133" s="15"/>
      <c r="B133" s="16"/>
      <c r="C133" s="16"/>
      <c r="D133" s="71"/>
      <c r="E133" s="430" t="s">
        <v>699</v>
      </c>
      <c r="F133" s="431"/>
      <c r="G133" s="431"/>
      <c r="H133" s="431"/>
      <c r="I133" s="431"/>
      <c r="J133" s="431"/>
      <c r="K133" s="431"/>
      <c r="L133" s="22">
        <v>55861</v>
      </c>
      <c r="M133" s="22"/>
      <c r="N133" s="41"/>
      <c r="O133" s="41"/>
      <c r="P133" s="52"/>
      <c r="Q133" s="77"/>
    </row>
    <row r="134" spans="1:17" s="39" customFormat="1" ht="17.25" customHeight="1">
      <c r="A134" s="15"/>
      <c r="B134" s="16"/>
      <c r="C134" s="16"/>
      <c r="D134" s="72"/>
      <c r="E134" s="428" t="s">
        <v>48</v>
      </c>
      <c r="F134" s="428"/>
      <c r="G134" s="428"/>
      <c r="H134" s="428"/>
      <c r="I134" s="428"/>
      <c r="J134" s="428"/>
      <c r="K134" s="428"/>
      <c r="L134" s="429"/>
      <c r="M134" s="72"/>
      <c r="N134" s="22"/>
      <c r="O134" s="22"/>
      <c r="P134" s="52"/>
      <c r="Q134" s="77"/>
    </row>
    <row r="135" spans="1:17" s="39" customFormat="1" ht="17.25" customHeight="1">
      <c r="A135" s="15"/>
      <c r="B135" s="16"/>
      <c r="C135" s="16"/>
      <c r="D135" s="71"/>
      <c r="E135" s="430" t="s">
        <v>700</v>
      </c>
      <c r="F135" s="431"/>
      <c r="G135" s="431"/>
      <c r="H135" s="431"/>
      <c r="I135" s="431"/>
      <c r="J135" s="431"/>
      <c r="K135" s="431"/>
      <c r="L135" s="22">
        <v>10157</v>
      </c>
      <c r="M135" s="22"/>
      <c r="N135" s="41"/>
      <c r="O135" s="41"/>
      <c r="P135" s="52"/>
      <c r="Q135" s="77"/>
    </row>
    <row r="136" spans="1:17" s="39" customFormat="1" ht="17.25" customHeight="1">
      <c r="A136" s="15"/>
      <c r="B136" s="16"/>
      <c r="C136" s="16"/>
      <c r="D136" s="72"/>
      <c r="E136" s="428" t="s">
        <v>49</v>
      </c>
      <c r="F136" s="428"/>
      <c r="G136" s="428"/>
      <c r="H136" s="428"/>
      <c r="I136" s="428"/>
      <c r="J136" s="428"/>
      <c r="K136" s="428"/>
      <c r="L136" s="429"/>
      <c r="M136" s="72"/>
      <c r="N136" s="22"/>
      <c r="O136" s="22"/>
      <c r="P136" s="52"/>
      <c r="Q136" s="77"/>
    </row>
    <row r="137" spans="1:17" s="39" customFormat="1" ht="17.25" customHeight="1">
      <c r="A137" s="15"/>
      <c r="B137" s="16"/>
      <c r="C137" s="16"/>
      <c r="D137" s="71"/>
      <c r="E137" s="430" t="s">
        <v>701</v>
      </c>
      <c r="F137" s="431"/>
      <c r="G137" s="431"/>
      <c r="H137" s="431"/>
      <c r="I137" s="431"/>
      <c r="J137" s="431"/>
      <c r="K137" s="431"/>
      <c r="L137" s="22">
        <v>91409</v>
      </c>
      <c r="M137" s="22"/>
      <c r="N137" s="41"/>
      <c r="O137" s="41"/>
      <c r="P137" s="52"/>
      <c r="Q137" s="77"/>
    </row>
    <row r="138" spans="1:17" s="39" customFormat="1" ht="17.25" customHeight="1">
      <c r="A138" s="15"/>
      <c r="B138" s="16"/>
      <c r="C138" s="16"/>
      <c r="D138" s="71"/>
      <c r="E138" s="427" t="s">
        <v>125</v>
      </c>
      <c r="F138" s="428"/>
      <c r="G138" s="428"/>
      <c r="H138" s="428"/>
      <c r="I138" s="428"/>
      <c r="J138" s="428"/>
      <c r="K138" s="73"/>
      <c r="L138" s="22">
        <f>L139+L140+L141+L142+L146+L147+L149+L151+L153+L155</f>
        <v>170607</v>
      </c>
      <c r="M138" s="22"/>
      <c r="N138" s="22"/>
      <c r="O138" s="22"/>
      <c r="P138" s="52"/>
      <c r="Q138" s="77"/>
    </row>
    <row r="139" spans="1:17" s="39" customFormat="1" ht="17.25" customHeight="1">
      <c r="A139" s="15"/>
      <c r="B139" s="16"/>
      <c r="C139" s="16"/>
      <c r="D139" s="71"/>
      <c r="E139" s="424" t="s">
        <v>689</v>
      </c>
      <c r="F139" s="425"/>
      <c r="G139" s="425"/>
      <c r="H139" s="425"/>
      <c r="I139" s="425"/>
      <c r="J139" s="426" t="s">
        <v>702</v>
      </c>
      <c r="K139" s="426"/>
      <c r="L139" s="22">
        <v>113504</v>
      </c>
      <c r="M139" s="22"/>
      <c r="N139" s="22"/>
      <c r="O139" s="22"/>
      <c r="P139" s="52"/>
      <c r="Q139" s="77"/>
    </row>
    <row r="140" spans="1:17" s="39" customFormat="1" ht="17.25" customHeight="1">
      <c r="A140" s="15"/>
      <c r="B140" s="16"/>
      <c r="C140" s="16"/>
      <c r="D140" s="71"/>
      <c r="E140" s="424" t="s">
        <v>116</v>
      </c>
      <c r="F140" s="425"/>
      <c r="G140" s="425"/>
      <c r="H140" s="425"/>
      <c r="I140" s="425"/>
      <c r="J140" s="426" t="s">
        <v>703</v>
      </c>
      <c r="K140" s="426"/>
      <c r="L140" s="22">
        <v>11351</v>
      </c>
      <c r="M140" s="22"/>
      <c r="N140" s="22"/>
      <c r="O140" s="22"/>
      <c r="P140" s="52"/>
      <c r="Q140" s="77"/>
    </row>
    <row r="141" spans="1:17" s="39" customFormat="1" ht="17.25" customHeight="1">
      <c r="A141" s="15"/>
      <c r="B141" s="16"/>
      <c r="C141" s="16"/>
      <c r="D141" s="71"/>
      <c r="E141" s="424" t="s">
        <v>117</v>
      </c>
      <c r="F141" s="425"/>
      <c r="G141" s="425"/>
      <c r="H141" s="425"/>
      <c r="I141" s="425"/>
      <c r="J141" s="426" t="s">
        <v>126</v>
      </c>
      <c r="K141" s="426"/>
      <c r="L141" s="22">
        <v>6720</v>
      </c>
      <c r="M141" s="22"/>
      <c r="N141" s="22"/>
      <c r="O141" s="22"/>
      <c r="P141" s="52"/>
      <c r="Q141" s="77"/>
    </row>
    <row r="142" spans="1:17" s="39" customFormat="1" ht="17.25" customHeight="1">
      <c r="A142" s="15"/>
      <c r="B142" s="16"/>
      <c r="C142" s="16"/>
      <c r="D142" s="71"/>
      <c r="E142" s="427" t="s">
        <v>33</v>
      </c>
      <c r="F142" s="428"/>
      <c r="G142" s="428"/>
      <c r="H142" s="428"/>
      <c r="I142" s="428"/>
      <c r="J142" s="428"/>
      <c r="K142" s="73"/>
      <c r="L142" s="22">
        <v>2160</v>
      </c>
      <c r="M142" s="22"/>
      <c r="N142" s="22"/>
      <c r="O142" s="22"/>
      <c r="P142" s="52"/>
      <c r="Q142" s="77"/>
    </row>
    <row r="143" spans="1:17" s="39" customFormat="1" ht="17.25" customHeight="1">
      <c r="A143" s="15"/>
      <c r="B143" s="16"/>
      <c r="C143" s="16"/>
      <c r="D143" s="71"/>
      <c r="E143" s="424" t="s">
        <v>34</v>
      </c>
      <c r="F143" s="425"/>
      <c r="G143" s="425"/>
      <c r="H143" s="425"/>
      <c r="I143" s="425"/>
      <c r="J143" s="426" t="s">
        <v>101</v>
      </c>
      <c r="K143" s="426"/>
      <c r="L143" s="22">
        <v>960</v>
      </c>
      <c r="M143" s="22"/>
      <c r="N143" s="22"/>
      <c r="O143" s="22"/>
      <c r="P143" s="52"/>
      <c r="Q143" s="77"/>
    </row>
    <row r="144" spans="1:17" s="39" customFormat="1" ht="17.25" customHeight="1">
      <c r="A144" s="15"/>
      <c r="B144" s="16"/>
      <c r="C144" s="16"/>
      <c r="D144" s="71"/>
      <c r="E144" s="424" t="s">
        <v>648</v>
      </c>
      <c r="F144" s="425"/>
      <c r="G144" s="425"/>
      <c r="H144" s="425"/>
      <c r="I144" s="425"/>
      <c r="J144" s="426" t="s">
        <v>704</v>
      </c>
      <c r="K144" s="426"/>
      <c r="L144" s="22">
        <v>360</v>
      </c>
      <c r="M144" s="22"/>
      <c r="N144" s="22"/>
      <c r="O144" s="22"/>
      <c r="P144" s="52"/>
      <c r="Q144" s="77"/>
    </row>
    <row r="145" spans="1:17" s="39" customFormat="1" ht="17.25" customHeight="1">
      <c r="A145" s="15"/>
      <c r="B145" s="16"/>
      <c r="C145" s="16"/>
      <c r="D145" s="71"/>
      <c r="E145" s="424" t="s">
        <v>37</v>
      </c>
      <c r="F145" s="425"/>
      <c r="G145" s="425"/>
      <c r="H145" s="425"/>
      <c r="I145" s="425"/>
      <c r="J145" s="426" t="s">
        <v>705</v>
      </c>
      <c r="K145" s="426"/>
      <c r="L145" s="22">
        <v>840</v>
      </c>
      <c r="M145" s="22"/>
      <c r="N145" s="22"/>
      <c r="O145" s="22"/>
      <c r="P145" s="52"/>
      <c r="Q145" s="77"/>
    </row>
    <row r="146" spans="1:17" s="39" customFormat="1" ht="17.25" customHeight="1">
      <c r="A146" s="15"/>
      <c r="B146" s="16"/>
      <c r="C146" s="16"/>
      <c r="D146" s="71"/>
      <c r="E146" s="424" t="s">
        <v>696</v>
      </c>
      <c r="F146" s="425"/>
      <c r="G146" s="425"/>
      <c r="H146" s="425"/>
      <c r="I146" s="425"/>
      <c r="J146" s="426" t="s">
        <v>127</v>
      </c>
      <c r="K146" s="426"/>
      <c r="L146" s="22">
        <v>1440</v>
      </c>
      <c r="M146" s="22"/>
      <c r="N146" s="22"/>
      <c r="O146" s="22"/>
      <c r="P146" s="52"/>
      <c r="Q146" s="77"/>
    </row>
    <row r="147" spans="1:17" s="39" customFormat="1" ht="17.25" customHeight="1">
      <c r="A147" s="15"/>
      <c r="B147" s="16"/>
      <c r="C147" s="16"/>
      <c r="D147" s="71"/>
      <c r="E147" s="424" t="s">
        <v>45</v>
      </c>
      <c r="F147" s="425"/>
      <c r="G147" s="425"/>
      <c r="H147" s="425"/>
      <c r="I147" s="425"/>
      <c r="J147" s="426" t="s">
        <v>706</v>
      </c>
      <c r="K147" s="426"/>
      <c r="L147" s="22">
        <v>2971</v>
      </c>
      <c r="M147" s="22"/>
      <c r="N147" s="22"/>
      <c r="O147" s="22"/>
      <c r="P147" s="52"/>
      <c r="Q147" s="77"/>
    </row>
    <row r="148" spans="1:17" s="39" customFormat="1" ht="17.25" customHeight="1">
      <c r="A148" s="15"/>
      <c r="B148" s="16"/>
      <c r="C148" s="16"/>
      <c r="D148" s="72"/>
      <c r="E148" s="428" t="s">
        <v>40</v>
      </c>
      <c r="F148" s="428"/>
      <c r="G148" s="428"/>
      <c r="H148" s="428"/>
      <c r="I148" s="428"/>
      <c r="J148" s="428"/>
      <c r="K148" s="428"/>
      <c r="L148" s="429"/>
      <c r="M148" s="72"/>
      <c r="N148" s="22"/>
      <c r="O148" s="22"/>
      <c r="P148" s="52"/>
      <c r="Q148" s="77"/>
    </row>
    <row r="149" spans="1:17" s="39" customFormat="1" ht="17.25" customHeight="1">
      <c r="A149" s="15"/>
      <c r="B149" s="16"/>
      <c r="C149" s="16"/>
      <c r="D149" s="71"/>
      <c r="E149" s="430" t="s">
        <v>707</v>
      </c>
      <c r="F149" s="431"/>
      <c r="G149" s="431"/>
      <c r="H149" s="431"/>
      <c r="I149" s="431"/>
      <c r="J149" s="431"/>
      <c r="K149" s="431"/>
      <c r="L149" s="22">
        <v>17185</v>
      </c>
      <c r="M149" s="22"/>
      <c r="N149" s="41"/>
      <c r="O149" s="41"/>
      <c r="P149" s="52"/>
      <c r="Q149" s="77"/>
    </row>
    <row r="150" spans="1:17" s="39" customFormat="1" ht="17.25" customHeight="1">
      <c r="A150" s="15"/>
      <c r="B150" s="16"/>
      <c r="C150" s="16"/>
      <c r="D150" s="72"/>
      <c r="E150" s="428" t="s">
        <v>47</v>
      </c>
      <c r="F150" s="428"/>
      <c r="G150" s="428"/>
      <c r="H150" s="428"/>
      <c r="I150" s="428"/>
      <c r="J150" s="428"/>
      <c r="K150" s="428"/>
      <c r="L150" s="429"/>
      <c r="M150" s="72"/>
      <c r="N150" s="22"/>
      <c r="O150" s="22"/>
      <c r="P150" s="52"/>
      <c r="Q150" s="77"/>
    </row>
    <row r="151" spans="1:17" s="39" customFormat="1" ht="17.25" customHeight="1">
      <c r="A151" s="15"/>
      <c r="B151" s="16"/>
      <c r="C151" s="16"/>
      <c r="D151" s="71"/>
      <c r="E151" s="430" t="s">
        <v>708</v>
      </c>
      <c r="F151" s="431"/>
      <c r="G151" s="431"/>
      <c r="H151" s="431"/>
      <c r="I151" s="431"/>
      <c r="J151" s="431"/>
      <c r="K151" s="431"/>
      <c r="L151" s="22">
        <v>2546</v>
      </c>
      <c r="M151" s="22"/>
      <c r="N151" s="41"/>
      <c r="O151" s="41"/>
      <c r="P151" s="52"/>
      <c r="Q151" s="77"/>
    </row>
    <row r="152" spans="1:17" s="39" customFormat="1" ht="17.25" customHeight="1">
      <c r="A152" s="15"/>
      <c r="B152" s="16"/>
      <c r="C152" s="16"/>
      <c r="D152" s="72"/>
      <c r="E152" s="428" t="s">
        <v>48</v>
      </c>
      <c r="F152" s="428"/>
      <c r="G152" s="428"/>
      <c r="H152" s="428"/>
      <c r="I152" s="428"/>
      <c r="J152" s="428"/>
      <c r="K152" s="428"/>
      <c r="L152" s="429"/>
      <c r="M152" s="72"/>
      <c r="N152" s="22"/>
      <c r="O152" s="22"/>
      <c r="P152" s="52"/>
      <c r="Q152" s="77"/>
    </row>
    <row r="153" spans="1:17" s="39" customFormat="1" ht="17.25" customHeight="1">
      <c r="A153" s="15"/>
      <c r="B153" s="16"/>
      <c r="C153" s="16"/>
      <c r="D153" s="71"/>
      <c r="E153" s="430" t="s">
        <v>709</v>
      </c>
      <c r="F153" s="431"/>
      <c r="G153" s="431"/>
      <c r="H153" s="431"/>
      <c r="I153" s="431"/>
      <c r="J153" s="431"/>
      <c r="K153" s="431"/>
      <c r="L153" s="22">
        <v>1273</v>
      </c>
      <c r="M153" s="22"/>
      <c r="N153" s="41"/>
      <c r="O153" s="41"/>
      <c r="P153" s="52"/>
      <c r="Q153" s="77"/>
    </row>
    <row r="154" spans="1:17" s="39" customFormat="1" ht="17.25" customHeight="1">
      <c r="A154" s="15"/>
      <c r="B154" s="16"/>
      <c r="C154" s="16"/>
      <c r="D154" s="72"/>
      <c r="E154" s="428" t="s">
        <v>49</v>
      </c>
      <c r="F154" s="428"/>
      <c r="G154" s="428"/>
      <c r="H154" s="428"/>
      <c r="I154" s="428"/>
      <c r="J154" s="428"/>
      <c r="K154" s="428"/>
      <c r="L154" s="429"/>
      <c r="M154" s="72"/>
      <c r="N154" s="22"/>
      <c r="O154" s="22"/>
      <c r="P154" s="52"/>
      <c r="Q154" s="77"/>
    </row>
    <row r="155" spans="1:17" s="39" customFormat="1" ht="17.25" customHeight="1">
      <c r="A155" s="15"/>
      <c r="B155" s="16"/>
      <c r="C155" s="16"/>
      <c r="D155" s="71"/>
      <c r="E155" s="430" t="s">
        <v>710</v>
      </c>
      <c r="F155" s="431"/>
      <c r="G155" s="431"/>
      <c r="H155" s="431"/>
      <c r="I155" s="431"/>
      <c r="J155" s="431"/>
      <c r="K155" s="431"/>
      <c r="L155" s="22">
        <v>11457</v>
      </c>
      <c r="M155" s="22"/>
      <c r="N155" s="41"/>
      <c r="O155" s="41"/>
      <c r="P155" s="52"/>
      <c r="Q155" s="77"/>
    </row>
    <row r="156" spans="1:17" s="39" customFormat="1" ht="17.25" customHeight="1">
      <c r="A156" s="15"/>
      <c r="B156" s="16"/>
      <c r="C156" s="16"/>
      <c r="D156" s="71"/>
      <c r="E156" s="427" t="s">
        <v>128</v>
      </c>
      <c r="F156" s="428"/>
      <c r="G156" s="428"/>
      <c r="H156" s="428"/>
      <c r="I156" s="428"/>
      <c r="J156" s="428"/>
      <c r="K156" s="73"/>
      <c r="L156" s="22">
        <f>L157+L158+L159+L160+L165+L166+L167+L168+L169+L170+L171+L172+L173</f>
        <v>1578045</v>
      </c>
      <c r="M156" s="22"/>
      <c r="N156" s="22"/>
      <c r="O156" s="22"/>
      <c r="P156" s="52"/>
      <c r="Q156" s="77"/>
    </row>
    <row r="157" spans="1:17" s="39" customFormat="1" ht="17.25" customHeight="1">
      <c r="A157" s="15"/>
      <c r="B157" s="16"/>
      <c r="C157" s="16"/>
      <c r="D157" s="71"/>
      <c r="E157" s="424" t="s">
        <v>711</v>
      </c>
      <c r="F157" s="425"/>
      <c r="G157" s="425"/>
      <c r="H157" s="425"/>
      <c r="I157" s="425"/>
      <c r="J157" s="426" t="s">
        <v>712</v>
      </c>
      <c r="K157" s="426"/>
      <c r="L157" s="22">
        <v>1052868</v>
      </c>
      <c r="M157" s="22"/>
      <c r="N157" s="22"/>
      <c r="O157" s="22"/>
      <c r="P157" s="52"/>
      <c r="Q157" s="77"/>
    </row>
    <row r="158" spans="1:17" s="39" customFormat="1" ht="17.25" customHeight="1">
      <c r="A158" s="15"/>
      <c r="B158" s="16"/>
      <c r="C158" s="16"/>
      <c r="D158" s="71"/>
      <c r="E158" s="424" t="s">
        <v>116</v>
      </c>
      <c r="F158" s="425"/>
      <c r="G158" s="425"/>
      <c r="H158" s="425"/>
      <c r="I158" s="425"/>
      <c r="J158" s="426" t="s">
        <v>713</v>
      </c>
      <c r="K158" s="426"/>
      <c r="L158" s="22">
        <v>105287</v>
      </c>
      <c r="M158" s="22"/>
      <c r="N158" s="22"/>
      <c r="O158" s="22"/>
      <c r="P158" s="52"/>
      <c r="Q158" s="77"/>
    </row>
    <row r="159" spans="1:17" s="39" customFormat="1" ht="17.25" customHeight="1">
      <c r="A159" s="15"/>
      <c r="B159" s="16"/>
      <c r="C159" s="16"/>
      <c r="D159" s="71"/>
      <c r="E159" s="424" t="s">
        <v>117</v>
      </c>
      <c r="F159" s="425"/>
      <c r="G159" s="425"/>
      <c r="H159" s="425"/>
      <c r="I159" s="425"/>
      <c r="J159" s="426" t="s">
        <v>714</v>
      </c>
      <c r="K159" s="426"/>
      <c r="L159" s="22">
        <v>72240</v>
      </c>
      <c r="M159" s="22"/>
      <c r="N159" s="22"/>
      <c r="O159" s="22"/>
      <c r="P159" s="52"/>
      <c r="Q159" s="77"/>
    </row>
    <row r="160" spans="1:17" s="39" customFormat="1" ht="17.25" customHeight="1">
      <c r="A160" s="15"/>
      <c r="B160" s="16"/>
      <c r="C160" s="16"/>
      <c r="D160" s="71"/>
      <c r="E160" s="427" t="s">
        <v>33</v>
      </c>
      <c r="F160" s="428"/>
      <c r="G160" s="428"/>
      <c r="H160" s="428"/>
      <c r="I160" s="428"/>
      <c r="J160" s="428"/>
      <c r="K160" s="73"/>
      <c r="L160" s="22">
        <f>SUM(L161:L164)</f>
        <v>12360</v>
      </c>
      <c r="M160" s="22"/>
      <c r="N160" s="22"/>
      <c r="O160" s="22"/>
      <c r="P160" s="52"/>
      <c r="Q160" s="77"/>
    </row>
    <row r="161" spans="1:17" s="39" customFormat="1" ht="17.25" customHeight="1">
      <c r="A161" s="15"/>
      <c r="B161" s="16"/>
      <c r="C161" s="16"/>
      <c r="D161" s="71"/>
      <c r="E161" s="424" t="s">
        <v>34</v>
      </c>
      <c r="F161" s="425"/>
      <c r="G161" s="425"/>
      <c r="H161" s="425"/>
      <c r="I161" s="425"/>
      <c r="J161" s="426" t="s">
        <v>715</v>
      </c>
      <c r="K161" s="426"/>
      <c r="L161" s="22">
        <v>5760</v>
      </c>
      <c r="M161" s="22"/>
      <c r="N161" s="22"/>
      <c r="O161" s="22"/>
      <c r="P161" s="52"/>
      <c r="Q161" s="77"/>
    </row>
    <row r="162" spans="1:17" s="39" customFormat="1" ht="17.25" customHeight="1">
      <c r="A162" s="15"/>
      <c r="B162" s="16"/>
      <c r="C162" s="16"/>
      <c r="D162" s="71"/>
      <c r="E162" s="424" t="s">
        <v>646</v>
      </c>
      <c r="F162" s="425"/>
      <c r="G162" s="425"/>
      <c r="H162" s="425"/>
      <c r="I162" s="425"/>
      <c r="J162" s="426" t="s">
        <v>716</v>
      </c>
      <c r="K162" s="426"/>
      <c r="L162" s="22">
        <v>4800</v>
      </c>
      <c r="M162" s="22"/>
      <c r="N162" s="22"/>
      <c r="O162" s="22"/>
      <c r="P162" s="52"/>
      <c r="Q162" s="77"/>
    </row>
    <row r="163" spans="1:17" s="39" customFormat="1" ht="17.25" customHeight="1">
      <c r="A163" s="15"/>
      <c r="B163" s="16"/>
      <c r="C163" s="16"/>
      <c r="D163" s="71"/>
      <c r="E163" s="424" t="s">
        <v>648</v>
      </c>
      <c r="F163" s="425"/>
      <c r="G163" s="425"/>
      <c r="H163" s="425"/>
      <c r="I163" s="425"/>
      <c r="J163" s="426" t="s">
        <v>704</v>
      </c>
      <c r="K163" s="426"/>
      <c r="L163" s="22">
        <v>360</v>
      </c>
      <c r="M163" s="22"/>
      <c r="N163" s="22"/>
      <c r="O163" s="22"/>
      <c r="P163" s="52"/>
      <c r="Q163" s="77"/>
    </row>
    <row r="164" spans="1:17" s="39" customFormat="1" ht="17.25" customHeight="1">
      <c r="A164" s="15"/>
      <c r="B164" s="16"/>
      <c r="C164" s="16"/>
      <c r="D164" s="71"/>
      <c r="E164" s="424" t="s">
        <v>37</v>
      </c>
      <c r="F164" s="425"/>
      <c r="G164" s="425"/>
      <c r="H164" s="425"/>
      <c r="I164" s="425"/>
      <c r="J164" s="426" t="s">
        <v>717</v>
      </c>
      <c r="K164" s="426"/>
      <c r="L164" s="22">
        <v>1440</v>
      </c>
      <c r="M164" s="22"/>
      <c r="N164" s="22"/>
      <c r="O164" s="22"/>
      <c r="P164" s="52"/>
      <c r="Q164" s="77"/>
    </row>
    <row r="165" spans="1:17" s="39" customFormat="1" ht="17.25" customHeight="1">
      <c r="A165" s="15"/>
      <c r="B165" s="16"/>
      <c r="C165" s="16"/>
      <c r="D165" s="71"/>
      <c r="E165" s="424" t="s">
        <v>57</v>
      </c>
      <c r="F165" s="425"/>
      <c r="G165" s="425"/>
      <c r="H165" s="425"/>
      <c r="I165" s="425"/>
      <c r="J165" s="426" t="s">
        <v>718</v>
      </c>
      <c r="K165" s="426"/>
      <c r="L165" s="22">
        <v>2400</v>
      </c>
      <c r="M165" s="22"/>
      <c r="N165" s="22"/>
      <c r="O165" s="22"/>
      <c r="P165" s="52"/>
      <c r="Q165" s="77"/>
    </row>
    <row r="166" spans="1:17" s="39" customFormat="1" ht="17.25" customHeight="1">
      <c r="A166" s="15"/>
      <c r="B166" s="16"/>
      <c r="C166" s="16"/>
      <c r="D166" s="71"/>
      <c r="E166" s="424" t="s">
        <v>122</v>
      </c>
      <c r="F166" s="425"/>
      <c r="G166" s="425"/>
      <c r="H166" s="425"/>
      <c r="I166" s="425"/>
      <c r="J166" s="426" t="s">
        <v>127</v>
      </c>
      <c r="K166" s="426"/>
      <c r="L166" s="22">
        <v>1440</v>
      </c>
      <c r="M166" s="22"/>
      <c r="N166" s="22"/>
      <c r="O166" s="22"/>
      <c r="P166" s="52"/>
      <c r="Q166" s="77"/>
    </row>
    <row r="167" spans="1:17" s="39" customFormat="1" ht="17.25" customHeight="1">
      <c r="A167" s="15"/>
      <c r="B167" s="16"/>
      <c r="C167" s="16"/>
      <c r="D167" s="71"/>
      <c r="E167" s="424" t="s">
        <v>696</v>
      </c>
      <c r="F167" s="425"/>
      <c r="G167" s="425"/>
      <c r="H167" s="425"/>
      <c r="I167" s="425"/>
      <c r="J167" s="426" t="s">
        <v>130</v>
      </c>
      <c r="K167" s="426"/>
      <c r="L167" s="22">
        <v>720</v>
      </c>
      <c r="M167" s="22"/>
      <c r="N167" s="22"/>
      <c r="O167" s="22"/>
      <c r="P167" s="52"/>
      <c r="Q167" s="77"/>
    </row>
    <row r="168" spans="1:17" s="39" customFormat="1" ht="17.25" customHeight="1">
      <c r="A168" s="15"/>
      <c r="B168" s="16"/>
      <c r="C168" s="16"/>
      <c r="D168" s="71"/>
      <c r="E168" s="424" t="s">
        <v>124</v>
      </c>
      <c r="F168" s="425"/>
      <c r="G168" s="425"/>
      <c r="H168" s="425"/>
      <c r="I168" s="425"/>
      <c r="J168" s="426" t="s">
        <v>719</v>
      </c>
      <c r="K168" s="426"/>
      <c r="L168" s="22">
        <v>1800</v>
      </c>
      <c r="M168" s="22"/>
      <c r="N168" s="22"/>
      <c r="O168" s="22"/>
      <c r="P168" s="52"/>
      <c r="Q168" s="77"/>
    </row>
    <row r="169" spans="1:17" s="39" customFormat="1" ht="17.25" customHeight="1">
      <c r="A169" s="15"/>
      <c r="B169" s="16"/>
      <c r="C169" s="16"/>
      <c r="D169" s="71"/>
      <c r="E169" s="424" t="s">
        <v>45</v>
      </c>
      <c r="F169" s="425"/>
      <c r="G169" s="425"/>
      <c r="H169" s="425"/>
      <c r="I169" s="425"/>
      <c r="J169" s="426" t="s">
        <v>720</v>
      </c>
      <c r="K169" s="426"/>
      <c r="L169" s="22">
        <v>27575</v>
      </c>
      <c r="M169" s="22"/>
      <c r="N169" s="22"/>
      <c r="O169" s="22"/>
      <c r="P169" s="52"/>
      <c r="Q169" s="77"/>
    </row>
    <row r="170" spans="1:17" s="39" customFormat="1" ht="17.25" customHeight="1">
      <c r="A170" s="15"/>
      <c r="B170" s="16"/>
      <c r="C170" s="16"/>
      <c r="D170" s="71"/>
      <c r="E170" s="424" t="s">
        <v>40</v>
      </c>
      <c r="F170" s="425"/>
      <c r="G170" s="425"/>
      <c r="H170" s="425"/>
      <c r="I170" s="425"/>
      <c r="J170" s="426" t="s">
        <v>721</v>
      </c>
      <c r="K170" s="426"/>
      <c r="L170" s="22">
        <v>88634</v>
      </c>
      <c r="M170" s="22"/>
      <c r="N170" s="22"/>
      <c r="O170" s="22"/>
      <c r="P170" s="52"/>
      <c r="Q170" s="77"/>
    </row>
    <row r="171" spans="1:17" s="39" customFormat="1" ht="17.25" customHeight="1">
      <c r="A171" s="15"/>
      <c r="B171" s="16"/>
      <c r="C171" s="16"/>
      <c r="D171" s="71"/>
      <c r="E171" s="424" t="s">
        <v>47</v>
      </c>
      <c r="F171" s="425"/>
      <c r="G171" s="425"/>
      <c r="H171" s="425"/>
      <c r="I171" s="425"/>
      <c r="J171" s="426" t="s">
        <v>722</v>
      </c>
      <c r="K171" s="426"/>
      <c r="L171" s="22">
        <v>23636</v>
      </c>
      <c r="M171" s="22"/>
      <c r="N171" s="22"/>
      <c r="O171" s="22"/>
      <c r="P171" s="52"/>
      <c r="Q171" s="77"/>
    </row>
    <row r="172" spans="1:17" s="39" customFormat="1" ht="17.25" customHeight="1">
      <c r="A172" s="15"/>
      <c r="B172" s="16"/>
      <c r="C172" s="16"/>
      <c r="D172" s="71"/>
      <c r="E172" s="424" t="s">
        <v>48</v>
      </c>
      <c r="F172" s="425"/>
      <c r="G172" s="425"/>
      <c r="H172" s="425"/>
      <c r="I172" s="425"/>
      <c r="J172" s="426" t="s">
        <v>723</v>
      </c>
      <c r="K172" s="426"/>
      <c r="L172" s="22">
        <v>11818</v>
      </c>
      <c r="M172" s="22"/>
      <c r="N172" s="22"/>
      <c r="O172" s="22"/>
      <c r="P172" s="52"/>
      <c r="Q172" s="77"/>
    </row>
    <row r="173" spans="1:17" s="39" customFormat="1" ht="17.25" customHeight="1">
      <c r="A173" s="15"/>
      <c r="B173" s="16"/>
      <c r="C173" s="16"/>
      <c r="D173" s="71"/>
      <c r="E173" s="424" t="s">
        <v>49</v>
      </c>
      <c r="F173" s="425"/>
      <c r="G173" s="425"/>
      <c r="H173" s="425"/>
      <c r="I173" s="425"/>
      <c r="J173" s="426" t="s">
        <v>724</v>
      </c>
      <c r="K173" s="426"/>
      <c r="L173" s="22">
        <v>177267</v>
      </c>
      <c r="M173" s="22"/>
      <c r="N173" s="22"/>
      <c r="O173" s="22"/>
      <c r="P173" s="52"/>
      <c r="Q173" s="77"/>
    </row>
    <row r="174" spans="1:17" s="39" customFormat="1" ht="17.25" customHeight="1">
      <c r="A174" s="15"/>
      <c r="B174" s="16"/>
      <c r="C174" s="16"/>
      <c r="D174" s="71"/>
      <c r="E174" s="427" t="s">
        <v>131</v>
      </c>
      <c r="F174" s="428"/>
      <c r="G174" s="428"/>
      <c r="H174" s="428"/>
      <c r="I174" s="428"/>
      <c r="J174" s="428"/>
      <c r="K174" s="73"/>
      <c r="L174" s="22">
        <f>L175+L176+L177+L178+L180+L181+L183+L185+L187+L189</f>
        <v>39014</v>
      </c>
      <c r="M174" s="22"/>
      <c r="N174" s="22"/>
      <c r="O174" s="22"/>
      <c r="P174" s="52"/>
      <c r="Q174" s="77"/>
    </row>
    <row r="175" spans="1:17" s="39" customFormat="1" ht="17.25" customHeight="1">
      <c r="A175" s="15"/>
      <c r="B175" s="16"/>
      <c r="C175" s="16"/>
      <c r="D175" s="71"/>
      <c r="E175" s="424" t="s">
        <v>725</v>
      </c>
      <c r="F175" s="425"/>
      <c r="G175" s="425"/>
      <c r="H175" s="425"/>
      <c r="I175" s="425"/>
      <c r="J175" s="426" t="s">
        <v>726</v>
      </c>
      <c r="K175" s="426"/>
      <c r="L175" s="22">
        <v>24135</v>
      </c>
      <c r="M175" s="22"/>
      <c r="N175" s="22"/>
      <c r="O175" s="22"/>
      <c r="P175" s="52"/>
      <c r="Q175" s="77"/>
    </row>
    <row r="176" spans="1:17" s="39" customFormat="1" ht="17.25" customHeight="1">
      <c r="A176" s="15"/>
      <c r="B176" s="16"/>
      <c r="C176" s="16"/>
      <c r="D176" s="71"/>
      <c r="E176" s="424" t="s">
        <v>116</v>
      </c>
      <c r="F176" s="425"/>
      <c r="G176" s="425"/>
      <c r="H176" s="425"/>
      <c r="I176" s="425"/>
      <c r="J176" s="426" t="s">
        <v>727</v>
      </c>
      <c r="K176" s="426"/>
      <c r="L176" s="22">
        <v>2414</v>
      </c>
      <c r="M176" s="22"/>
      <c r="N176" s="22"/>
      <c r="O176" s="22"/>
      <c r="P176" s="52"/>
      <c r="Q176" s="77"/>
    </row>
    <row r="177" spans="1:17" s="39" customFormat="1" ht="17.25" customHeight="1">
      <c r="A177" s="15"/>
      <c r="B177" s="16"/>
      <c r="C177" s="16"/>
      <c r="D177" s="71"/>
      <c r="E177" s="424" t="s">
        <v>117</v>
      </c>
      <c r="F177" s="425"/>
      <c r="G177" s="425"/>
      <c r="H177" s="425"/>
      <c r="I177" s="425"/>
      <c r="J177" s="426" t="s">
        <v>132</v>
      </c>
      <c r="K177" s="426"/>
      <c r="L177" s="22">
        <v>1680</v>
      </c>
      <c r="M177" s="22"/>
      <c r="N177" s="22"/>
      <c r="O177" s="22"/>
      <c r="P177" s="52"/>
      <c r="Q177" s="77"/>
    </row>
    <row r="178" spans="1:17" s="39" customFormat="1" ht="17.25" customHeight="1">
      <c r="A178" s="15"/>
      <c r="B178" s="16"/>
      <c r="C178" s="16"/>
      <c r="D178" s="71"/>
      <c r="E178" s="427" t="s">
        <v>33</v>
      </c>
      <c r="F178" s="428"/>
      <c r="G178" s="428"/>
      <c r="H178" s="428"/>
      <c r="I178" s="428"/>
      <c r="J178" s="428"/>
      <c r="K178" s="73"/>
      <c r="L178" s="22">
        <f>SUM(L179)</f>
        <v>480</v>
      </c>
      <c r="M178" s="22"/>
      <c r="N178" s="22"/>
      <c r="O178" s="22"/>
      <c r="P178" s="52"/>
      <c r="Q178" s="77"/>
    </row>
    <row r="179" spans="1:17" s="39" customFormat="1" ht="17.25" customHeight="1">
      <c r="A179" s="15"/>
      <c r="B179" s="16"/>
      <c r="C179" s="16"/>
      <c r="D179" s="71"/>
      <c r="E179" s="424" t="s">
        <v>34</v>
      </c>
      <c r="F179" s="425"/>
      <c r="G179" s="425"/>
      <c r="H179" s="425"/>
      <c r="I179" s="425"/>
      <c r="J179" s="426" t="s">
        <v>133</v>
      </c>
      <c r="K179" s="426"/>
      <c r="L179" s="22">
        <v>480</v>
      </c>
      <c r="M179" s="22"/>
      <c r="N179" s="22"/>
      <c r="O179" s="22"/>
      <c r="P179" s="52"/>
      <c r="Q179" s="77"/>
    </row>
    <row r="180" spans="1:17" s="39" customFormat="1" ht="17.25" customHeight="1">
      <c r="A180" s="15"/>
      <c r="B180" s="16"/>
      <c r="C180" s="16"/>
      <c r="D180" s="71"/>
      <c r="E180" s="424" t="s">
        <v>122</v>
      </c>
      <c r="F180" s="425"/>
      <c r="G180" s="425"/>
      <c r="H180" s="425"/>
      <c r="I180" s="425"/>
      <c r="J180" s="426" t="s">
        <v>134</v>
      </c>
      <c r="K180" s="426"/>
      <c r="L180" s="22">
        <v>360</v>
      </c>
      <c r="M180" s="22"/>
      <c r="N180" s="22"/>
      <c r="O180" s="22"/>
      <c r="P180" s="52"/>
      <c r="Q180" s="77"/>
    </row>
    <row r="181" spans="1:17" s="39" customFormat="1" ht="17.25" customHeight="1">
      <c r="A181" s="15"/>
      <c r="B181" s="16"/>
      <c r="C181" s="16"/>
      <c r="D181" s="71"/>
      <c r="E181" s="424" t="s">
        <v>45</v>
      </c>
      <c r="F181" s="425"/>
      <c r="G181" s="425"/>
      <c r="H181" s="425"/>
      <c r="I181" s="425"/>
      <c r="J181" s="426" t="s">
        <v>728</v>
      </c>
      <c r="K181" s="426"/>
      <c r="L181" s="22">
        <v>639</v>
      </c>
      <c r="M181" s="22"/>
      <c r="N181" s="22"/>
      <c r="O181" s="22"/>
      <c r="P181" s="52"/>
      <c r="Q181" s="77"/>
    </row>
    <row r="182" spans="1:17" s="39" customFormat="1" ht="17.25" customHeight="1">
      <c r="A182" s="15"/>
      <c r="B182" s="16"/>
      <c r="C182" s="16"/>
      <c r="D182" s="72"/>
      <c r="E182" s="428" t="s">
        <v>40</v>
      </c>
      <c r="F182" s="428"/>
      <c r="G182" s="428"/>
      <c r="H182" s="428"/>
      <c r="I182" s="428"/>
      <c r="J182" s="428"/>
      <c r="K182" s="428"/>
      <c r="L182" s="429"/>
      <c r="M182" s="72"/>
      <c r="N182" s="22"/>
      <c r="O182" s="22"/>
      <c r="P182" s="52"/>
      <c r="Q182" s="77"/>
    </row>
    <row r="183" spans="1:17" s="39" customFormat="1" ht="17.25" customHeight="1">
      <c r="A183" s="15"/>
      <c r="B183" s="16"/>
      <c r="C183" s="16"/>
      <c r="D183" s="71"/>
      <c r="E183" s="430" t="s">
        <v>729</v>
      </c>
      <c r="F183" s="431"/>
      <c r="G183" s="431"/>
      <c r="H183" s="431"/>
      <c r="I183" s="431"/>
      <c r="J183" s="431"/>
      <c r="K183" s="431"/>
      <c r="L183" s="22">
        <v>2053</v>
      </c>
      <c r="M183" s="22"/>
      <c r="N183" s="41"/>
      <c r="O183" s="41"/>
      <c r="P183" s="52"/>
      <c r="Q183" s="77"/>
    </row>
    <row r="184" spans="1:17" s="39" customFormat="1" ht="17.25" customHeight="1">
      <c r="A184" s="15"/>
      <c r="B184" s="16"/>
      <c r="C184" s="16"/>
      <c r="D184" s="72"/>
      <c r="E184" s="428" t="s">
        <v>47</v>
      </c>
      <c r="F184" s="428"/>
      <c r="G184" s="428"/>
      <c r="H184" s="428"/>
      <c r="I184" s="428"/>
      <c r="J184" s="428"/>
      <c r="K184" s="428"/>
      <c r="L184" s="429"/>
      <c r="M184" s="72"/>
      <c r="N184" s="22"/>
      <c r="O184" s="22"/>
      <c r="P184" s="52"/>
      <c r="Q184" s="77"/>
    </row>
    <row r="185" spans="1:17" s="39" customFormat="1" ht="17.25" customHeight="1">
      <c r="A185" s="15"/>
      <c r="B185" s="16"/>
      <c r="C185" s="16"/>
      <c r="D185" s="71"/>
      <c r="E185" s="430" t="s">
        <v>730</v>
      </c>
      <c r="F185" s="431"/>
      <c r="G185" s="431"/>
      <c r="H185" s="431"/>
      <c r="I185" s="431"/>
      <c r="J185" s="431"/>
      <c r="K185" s="431"/>
      <c r="L185" s="22">
        <v>821</v>
      </c>
      <c r="M185" s="22"/>
      <c r="N185" s="41"/>
      <c r="O185" s="41"/>
      <c r="P185" s="52"/>
      <c r="Q185" s="77"/>
    </row>
    <row r="186" spans="1:17" s="39" customFormat="1" ht="17.25" customHeight="1">
      <c r="A186" s="15"/>
      <c r="B186" s="16"/>
      <c r="C186" s="16"/>
      <c r="D186" s="72"/>
      <c r="E186" s="428" t="s">
        <v>48</v>
      </c>
      <c r="F186" s="428"/>
      <c r="G186" s="428"/>
      <c r="H186" s="428"/>
      <c r="I186" s="428"/>
      <c r="J186" s="428"/>
      <c r="K186" s="428"/>
      <c r="L186" s="429"/>
      <c r="M186" s="72"/>
      <c r="N186" s="22"/>
      <c r="O186" s="22"/>
      <c r="P186" s="52"/>
      <c r="Q186" s="77"/>
    </row>
    <row r="187" spans="1:17" s="39" customFormat="1" ht="17.25" customHeight="1">
      <c r="A187" s="15"/>
      <c r="B187" s="16"/>
      <c r="C187" s="16"/>
      <c r="D187" s="71"/>
      <c r="E187" s="430" t="s">
        <v>731</v>
      </c>
      <c r="F187" s="431"/>
      <c r="G187" s="431"/>
      <c r="H187" s="431"/>
      <c r="I187" s="431"/>
      <c r="J187" s="431"/>
      <c r="K187" s="431"/>
      <c r="L187" s="22">
        <v>685</v>
      </c>
      <c r="M187" s="22"/>
      <c r="N187" s="41"/>
      <c r="O187" s="41"/>
      <c r="P187" s="52"/>
      <c r="Q187" s="77"/>
    </row>
    <row r="188" spans="1:17" s="39" customFormat="1" ht="17.25" customHeight="1">
      <c r="A188" s="15"/>
      <c r="B188" s="16"/>
      <c r="C188" s="16"/>
      <c r="D188" s="72"/>
      <c r="E188" s="428" t="s">
        <v>49</v>
      </c>
      <c r="F188" s="428"/>
      <c r="G188" s="428"/>
      <c r="H188" s="428"/>
      <c r="I188" s="428"/>
      <c r="J188" s="428"/>
      <c r="K188" s="428"/>
      <c r="L188" s="429"/>
      <c r="M188" s="72"/>
      <c r="N188" s="22"/>
      <c r="O188" s="22"/>
      <c r="P188" s="52"/>
      <c r="Q188" s="77"/>
    </row>
    <row r="189" spans="1:17" s="39" customFormat="1" ht="17.25" customHeight="1">
      <c r="A189" s="15"/>
      <c r="B189" s="16"/>
      <c r="C189" s="16"/>
      <c r="D189" s="71"/>
      <c r="E189" s="430" t="s">
        <v>732</v>
      </c>
      <c r="F189" s="431"/>
      <c r="G189" s="431"/>
      <c r="H189" s="431"/>
      <c r="I189" s="431"/>
      <c r="J189" s="431"/>
      <c r="K189" s="431"/>
      <c r="L189" s="22">
        <v>5747</v>
      </c>
      <c r="M189" s="22"/>
      <c r="N189" s="41"/>
      <c r="O189" s="41"/>
      <c r="P189" s="52"/>
      <c r="Q189" s="77"/>
    </row>
    <row r="190" spans="1:17" s="39" customFormat="1" ht="17.25" customHeight="1">
      <c r="A190" s="15"/>
      <c r="B190" s="16"/>
      <c r="C190" s="16"/>
      <c r="D190" s="71"/>
      <c r="E190" s="427" t="s">
        <v>135</v>
      </c>
      <c r="F190" s="428"/>
      <c r="G190" s="428"/>
      <c r="H190" s="428"/>
      <c r="I190" s="428"/>
      <c r="J190" s="428"/>
      <c r="K190" s="73"/>
      <c r="L190" s="22">
        <f>L191+L192+L193+L194+L195+L198+L199+L202+L204+L206+L208+L210</f>
        <v>426860</v>
      </c>
      <c r="M190" s="22"/>
      <c r="N190" s="22"/>
      <c r="O190" s="22"/>
      <c r="P190" s="52"/>
      <c r="Q190" s="77"/>
    </row>
    <row r="191" spans="1:17" s="39" customFormat="1" ht="17.25" customHeight="1">
      <c r="A191" s="15"/>
      <c r="B191" s="16"/>
      <c r="C191" s="16"/>
      <c r="D191" s="71"/>
      <c r="E191" s="424" t="s">
        <v>136</v>
      </c>
      <c r="F191" s="425"/>
      <c r="G191" s="425"/>
      <c r="H191" s="425"/>
      <c r="I191" s="425"/>
      <c r="J191" s="426" t="s">
        <v>733</v>
      </c>
      <c r="K191" s="426"/>
      <c r="L191" s="22">
        <v>273240</v>
      </c>
      <c r="M191" s="22"/>
      <c r="N191" s="22"/>
      <c r="O191" s="22"/>
      <c r="P191" s="52"/>
      <c r="Q191" s="77"/>
    </row>
    <row r="192" spans="1:17" s="39" customFormat="1" ht="17.25" customHeight="1">
      <c r="A192" s="15"/>
      <c r="B192" s="16"/>
      <c r="C192" s="16"/>
      <c r="D192" s="71"/>
      <c r="E192" s="424" t="s">
        <v>116</v>
      </c>
      <c r="F192" s="425"/>
      <c r="G192" s="425"/>
      <c r="H192" s="425"/>
      <c r="I192" s="425"/>
      <c r="J192" s="426" t="s">
        <v>734</v>
      </c>
      <c r="K192" s="426"/>
      <c r="L192" s="22">
        <v>22770</v>
      </c>
      <c r="M192" s="22"/>
      <c r="N192" s="22"/>
      <c r="O192" s="22"/>
      <c r="P192" s="52"/>
      <c r="Q192" s="77"/>
    </row>
    <row r="193" spans="1:17" s="39" customFormat="1" ht="17.25" customHeight="1">
      <c r="A193" s="15"/>
      <c r="B193" s="16"/>
      <c r="C193" s="16"/>
      <c r="D193" s="71"/>
      <c r="E193" s="424" t="s">
        <v>117</v>
      </c>
      <c r="F193" s="425"/>
      <c r="G193" s="425"/>
      <c r="H193" s="425"/>
      <c r="I193" s="425"/>
      <c r="J193" s="426" t="s">
        <v>137</v>
      </c>
      <c r="K193" s="426"/>
      <c r="L193" s="22">
        <v>18480</v>
      </c>
      <c r="M193" s="22"/>
      <c r="N193" s="22"/>
      <c r="O193" s="22"/>
      <c r="P193" s="52"/>
      <c r="Q193" s="77"/>
    </row>
    <row r="194" spans="1:17" s="39" customFormat="1" ht="17.25" customHeight="1">
      <c r="A194" s="15"/>
      <c r="B194" s="16"/>
      <c r="C194" s="16"/>
      <c r="D194" s="71"/>
      <c r="E194" s="424" t="s">
        <v>124</v>
      </c>
      <c r="F194" s="425"/>
      <c r="G194" s="425"/>
      <c r="H194" s="425"/>
      <c r="I194" s="425"/>
      <c r="J194" s="426" t="s">
        <v>60</v>
      </c>
      <c r="K194" s="426"/>
      <c r="L194" s="22">
        <v>1200</v>
      </c>
      <c r="M194" s="22"/>
      <c r="N194" s="22"/>
      <c r="O194" s="22"/>
      <c r="P194" s="52"/>
      <c r="Q194" s="77"/>
    </row>
    <row r="195" spans="1:17" s="39" customFormat="1" ht="17.25" customHeight="1">
      <c r="A195" s="15"/>
      <c r="B195" s="16"/>
      <c r="C195" s="16"/>
      <c r="D195" s="71"/>
      <c r="E195" s="427" t="s">
        <v>138</v>
      </c>
      <c r="F195" s="428"/>
      <c r="G195" s="428"/>
      <c r="H195" s="428"/>
      <c r="I195" s="428"/>
      <c r="J195" s="428"/>
      <c r="K195" s="73"/>
      <c r="L195" s="22">
        <f>SUM(L196:L197)</f>
        <v>4800</v>
      </c>
      <c r="M195" s="22"/>
      <c r="N195" s="22"/>
      <c r="O195" s="22"/>
      <c r="P195" s="52"/>
      <c r="Q195" s="77"/>
    </row>
    <row r="196" spans="1:17" s="39" customFormat="1" ht="17.25" customHeight="1">
      <c r="A196" s="15"/>
      <c r="B196" s="16"/>
      <c r="C196" s="16"/>
      <c r="D196" s="71"/>
      <c r="E196" s="424" t="s">
        <v>139</v>
      </c>
      <c r="F196" s="425"/>
      <c r="G196" s="425"/>
      <c r="H196" s="425"/>
      <c r="I196" s="425"/>
      <c r="J196" s="426" t="s">
        <v>140</v>
      </c>
      <c r="K196" s="426"/>
      <c r="L196" s="22">
        <v>2880</v>
      </c>
      <c r="M196" s="22"/>
      <c r="N196" s="22"/>
      <c r="O196" s="22"/>
      <c r="P196" s="52"/>
      <c r="Q196" s="77"/>
    </row>
    <row r="197" spans="1:17" s="39" customFormat="1" ht="17.25" customHeight="1">
      <c r="A197" s="15"/>
      <c r="B197" s="16"/>
      <c r="C197" s="16"/>
      <c r="D197" s="71"/>
      <c r="E197" s="424" t="s">
        <v>141</v>
      </c>
      <c r="F197" s="425"/>
      <c r="G197" s="425"/>
      <c r="H197" s="425"/>
      <c r="I197" s="425"/>
      <c r="J197" s="426" t="s">
        <v>142</v>
      </c>
      <c r="K197" s="426"/>
      <c r="L197" s="22">
        <v>1920</v>
      </c>
      <c r="M197" s="22"/>
      <c r="N197" s="22"/>
      <c r="O197" s="22"/>
      <c r="P197" s="52"/>
      <c r="Q197" s="77"/>
    </row>
    <row r="198" spans="1:17" s="39" customFormat="1" ht="17.25" customHeight="1">
      <c r="A198" s="15"/>
      <c r="B198" s="16"/>
      <c r="C198" s="16"/>
      <c r="D198" s="71"/>
      <c r="E198" s="424" t="s">
        <v>143</v>
      </c>
      <c r="F198" s="425"/>
      <c r="G198" s="425"/>
      <c r="H198" s="425"/>
      <c r="I198" s="425"/>
      <c r="J198" s="426" t="s">
        <v>144</v>
      </c>
      <c r="K198" s="426"/>
      <c r="L198" s="22">
        <v>13200</v>
      </c>
      <c r="M198" s="22"/>
      <c r="N198" s="22"/>
      <c r="O198" s="22"/>
      <c r="P198" s="52"/>
      <c r="Q198" s="77"/>
    </row>
    <row r="199" spans="1:17" s="39" customFormat="1" ht="17.25" customHeight="1">
      <c r="A199" s="15"/>
      <c r="B199" s="16"/>
      <c r="C199" s="16"/>
      <c r="D199" s="71"/>
      <c r="E199" s="427" t="s">
        <v>33</v>
      </c>
      <c r="F199" s="428"/>
      <c r="G199" s="428"/>
      <c r="H199" s="428"/>
      <c r="I199" s="428"/>
      <c r="J199" s="428"/>
      <c r="K199" s="73"/>
      <c r="L199" s="22">
        <f>SUM(L200:L201)</f>
        <v>4320</v>
      </c>
      <c r="M199" s="22"/>
      <c r="N199" s="22"/>
      <c r="O199" s="22"/>
      <c r="P199" s="52"/>
      <c r="Q199" s="77"/>
    </row>
    <row r="200" spans="1:17" s="39" customFormat="1" ht="17.25" customHeight="1">
      <c r="A200" s="15"/>
      <c r="B200" s="16"/>
      <c r="C200" s="16"/>
      <c r="D200" s="71"/>
      <c r="E200" s="424" t="s">
        <v>34</v>
      </c>
      <c r="F200" s="425"/>
      <c r="G200" s="425"/>
      <c r="H200" s="425"/>
      <c r="I200" s="425"/>
      <c r="J200" s="426" t="s">
        <v>145</v>
      </c>
      <c r="K200" s="426"/>
      <c r="L200" s="22">
        <v>3840</v>
      </c>
      <c r="M200" s="22"/>
      <c r="N200" s="22"/>
      <c r="O200" s="22"/>
      <c r="P200" s="52"/>
      <c r="Q200" s="77"/>
    </row>
    <row r="201" spans="1:17" s="39" customFormat="1" ht="17.25" customHeight="1">
      <c r="A201" s="15"/>
      <c r="B201" s="16"/>
      <c r="C201" s="16"/>
      <c r="D201" s="71"/>
      <c r="E201" s="424" t="s">
        <v>36</v>
      </c>
      <c r="F201" s="425"/>
      <c r="G201" s="425"/>
      <c r="H201" s="425"/>
      <c r="I201" s="425"/>
      <c r="J201" s="426" t="s">
        <v>69</v>
      </c>
      <c r="K201" s="426"/>
      <c r="L201" s="22">
        <v>480</v>
      </c>
      <c r="M201" s="22"/>
      <c r="N201" s="22"/>
      <c r="O201" s="22"/>
      <c r="P201" s="52"/>
      <c r="Q201" s="77"/>
    </row>
    <row r="202" spans="1:17" s="39" customFormat="1" ht="17.25" customHeight="1">
      <c r="A202" s="15"/>
      <c r="B202" s="16"/>
      <c r="C202" s="16"/>
      <c r="D202" s="71"/>
      <c r="E202" s="424" t="s">
        <v>45</v>
      </c>
      <c r="F202" s="425"/>
      <c r="G202" s="425"/>
      <c r="H202" s="425"/>
      <c r="I202" s="425"/>
      <c r="J202" s="426" t="s">
        <v>735</v>
      </c>
      <c r="K202" s="426"/>
      <c r="L202" s="22">
        <v>7449</v>
      </c>
      <c r="M202" s="22"/>
      <c r="N202" s="22"/>
      <c r="O202" s="22"/>
      <c r="P202" s="52"/>
      <c r="Q202" s="77"/>
    </row>
    <row r="203" spans="1:17" s="39" customFormat="1" ht="17.25" customHeight="1">
      <c r="A203" s="15"/>
      <c r="B203" s="16"/>
      <c r="C203" s="16"/>
      <c r="D203" s="72"/>
      <c r="E203" s="428" t="s">
        <v>40</v>
      </c>
      <c r="F203" s="428"/>
      <c r="G203" s="428"/>
      <c r="H203" s="428"/>
      <c r="I203" s="428"/>
      <c r="J203" s="428"/>
      <c r="K203" s="428"/>
      <c r="L203" s="429"/>
      <c r="M203" s="72"/>
      <c r="N203" s="22"/>
      <c r="O203" s="22"/>
      <c r="P203" s="52"/>
      <c r="Q203" s="77"/>
    </row>
    <row r="204" spans="1:17" s="39" customFormat="1" ht="17.25" customHeight="1">
      <c r="A204" s="15"/>
      <c r="B204" s="16"/>
      <c r="C204" s="16"/>
      <c r="D204" s="71"/>
      <c r="E204" s="430" t="s">
        <v>736</v>
      </c>
      <c r="F204" s="431"/>
      <c r="G204" s="431"/>
      <c r="H204" s="431"/>
      <c r="I204" s="431"/>
      <c r="J204" s="431"/>
      <c r="K204" s="431"/>
      <c r="L204" s="22">
        <v>23941</v>
      </c>
      <c r="M204" s="22"/>
      <c r="N204" s="41"/>
      <c r="O204" s="41"/>
      <c r="P204" s="52"/>
      <c r="Q204" s="77"/>
    </row>
    <row r="205" spans="1:17" s="39" customFormat="1" ht="17.25" customHeight="1">
      <c r="A205" s="15"/>
      <c r="B205" s="16"/>
      <c r="C205" s="16"/>
      <c r="D205" s="72"/>
      <c r="E205" s="428" t="s">
        <v>47</v>
      </c>
      <c r="F205" s="428"/>
      <c r="G205" s="428"/>
      <c r="H205" s="428"/>
      <c r="I205" s="428"/>
      <c r="J205" s="428"/>
      <c r="K205" s="428"/>
      <c r="L205" s="429"/>
      <c r="M205" s="72"/>
      <c r="N205" s="22"/>
      <c r="O205" s="22"/>
      <c r="P205" s="52"/>
      <c r="Q205" s="77"/>
    </row>
    <row r="206" spans="1:17" s="39" customFormat="1" ht="17.25" customHeight="1">
      <c r="A206" s="15"/>
      <c r="B206" s="16"/>
      <c r="C206" s="16"/>
      <c r="D206" s="71"/>
      <c r="E206" s="430" t="s">
        <v>737</v>
      </c>
      <c r="F206" s="431"/>
      <c r="G206" s="431"/>
      <c r="H206" s="431"/>
      <c r="I206" s="431"/>
      <c r="J206" s="431"/>
      <c r="K206" s="431"/>
      <c r="L206" s="22">
        <v>6385</v>
      </c>
      <c r="M206" s="22"/>
      <c r="N206" s="41"/>
      <c r="O206" s="41"/>
      <c r="P206" s="52"/>
      <c r="Q206" s="77"/>
    </row>
    <row r="207" spans="1:17" s="39" customFormat="1" ht="17.25" customHeight="1">
      <c r="A207" s="15"/>
      <c r="B207" s="16"/>
      <c r="C207" s="16"/>
      <c r="D207" s="72"/>
      <c r="E207" s="428" t="s">
        <v>48</v>
      </c>
      <c r="F207" s="428"/>
      <c r="G207" s="428"/>
      <c r="H207" s="428"/>
      <c r="I207" s="428"/>
      <c r="J207" s="428"/>
      <c r="K207" s="428"/>
      <c r="L207" s="429"/>
      <c r="M207" s="72"/>
      <c r="N207" s="22"/>
      <c r="O207" s="22"/>
      <c r="P207" s="52"/>
      <c r="Q207" s="77"/>
    </row>
    <row r="208" spans="1:17" s="39" customFormat="1" ht="17.25" customHeight="1">
      <c r="A208" s="15"/>
      <c r="B208" s="16"/>
      <c r="C208" s="16"/>
      <c r="D208" s="71"/>
      <c r="E208" s="430" t="s">
        <v>738</v>
      </c>
      <c r="F208" s="431"/>
      <c r="G208" s="431"/>
      <c r="H208" s="431"/>
      <c r="I208" s="431"/>
      <c r="J208" s="431"/>
      <c r="K208" s="431"/>
      <c r="L208" s="22">
        <v>3193</v>
      </c>
      <c r="M208" s="22"/>
      <c r="N208" s="41"/>
      <c r="O208" s="41"/>
      <c r="P208" s="52"/>
      <c r="Q208" s="77"/>
    </row>
    <row r="209" spans="1:17" s="39" customFormat="1" ht="17.25" customHeight="1">
      <c r="A209" s="15"/>
      <c r="B209" s="16"/>
      <c r="C209" s="16"/>
      <c r="D209" s="72"/>
      <c r="E209" s="428" t="s">
        <v>49</v>
      </c>
      <c r="F209" s="428"/>
      <c r="G209" s="428"/>
      <c r="H209" s="428"/>
      <c r="I209" s="428"/>
      <c r="J209" s="428"/>
      <c r="K209" s="428"/>
      <c r="L209" s="429"/>
      <c r="M209" s="72"/>
      <c r="N209" s="22"/>
      <c r="O209" s="22"/>
      <c r="P209" s="52"/>
      <c r="Q209" s="77"/>
    </row>
    <row r="210" spans="1:17" s="39" customFormat="1" ht="17.25" customHeight="1">
      <c r="A210" s="15"/>
      <c r="B210" s="16"/>
      <c r="C210" s="16"/>
      <c r="D210" s="71"/>
      <c r="E210" s="430" t="s">
        <v>739</v>
      </c>
      <c r="F210" s="431"/>
      <c r="G210" s="431"/>
      <c r="H210" s="431"/>
      <c r="I210" s="431"/>
      <c r="J210" s="431"/>
      <c r="K210" s="431"/>
      <c r="L210" s="22">
        <v>47882</v>
      </c>
      <c r="M210" s="22"/>
      <c r="N210" s="41"/>
      <c r="O210" s="41"/>
      <c r="P210" s="52"/>
      <c r="Q210" s="77"/>
    </row>
    <row r="211" spans="1:17" s="39" customFormat="1" ht="17.25" customHeight="1">
      <c r="A211" s="15"/>
      <c r="B211" s="16"/>
      <c r="C211" s="16"/>
      <c r="D211" s="71"/>
      <c r="E211" s="427" t="s">
        <v>146</v>
      </c>
      <c r="F211" s="428"/>
      <c r="G211" s="428"/>
      <c r="H211" s="428"/>
      <c r="I211" s="428"/>
      <c r="J211" s="428"/>
      <c r="K211" s="73"/>
      <c r="L211" s="22">
        <f>L212+L213+L214+L215+L217+L218+L221+L223+L225+L227+L229</f>
        <v>123182</v>
      </c>
      <c r="M211" s="22"/>
      <c r="N211" s="22"/>
      <c r="O211" s="22"/>
      <c r="P211" s="52"/>
      <c r="Q211" s="77"/>
    </row>
    <row r="212" spans="1:17" s="39" customFormat="1" ht="17.25" customHeight="1">
      <c r="A212" s="15"/>
      <c r="B212" s="16"/>
      <c r="C212" s="16"/>
      <c r="D212" s="71"/>
      <c r="E212" s="424" t="s">
        <v>136</v>
      </c>
      <c r="F212" s="425"/>
      <c r="G212" s="425"/>
      <c r="H212" s="425"/>
      <c r="I212" s="425"/>
      <c r="J212" s="426" t="s">
        <v>740</v>
      </c>
      <c r="K212" s="426"/>
      <c r="L212" s="22">
        <v>74520</v>
      </c>
      <c r="M212" s="22"/>
      <c r="N212" s="22"/>
      <c r="O212" s="22"/>
      <c r="P212" s="52"/>
      <c r="Q212" s="77"/>
    </row>
    <row r="213" spans="1:17" s="39" customFormat="1" ht="17.25" customHeight="1">
      <c r="A213" s="15"/>
      <c r="B213" s="16"/>
      <c r="C213" s="16"/>
      <c r="D213" s="71"/>
      <c r="E213" s="424" t="s">
        <v>116</v>
      </c>
      <c r="F213" s="425"/>
      <c r="G213" s="425"/>
      <c r="H213" s="425"/>
      <c r="I213" s="425"/>
      <c r="J213" s="426" t="s">
        <v>741</v>
      </c>
      <c r="K213" s="426"/>
      <c r="L213" s="22">
        <v>6210</v>
      </c>
      <c r="M213" s="22"/>
      <c r="N213" s="22"/>
      <c r="O213" s="22"/>
      <c r="P213" s="52"/>
      <c r="Q213" s="77"/>
    </row>
    <row r="214" spans="1:17" s="39" customFormat="1" ht="17.25" customHeight="1">
      <c r="A214" s="15"/>
      <c r="B214" s="16"/>
      <c r="C214" s="16"/>
      <c r="D214" s="71"/>
      <c r="E214" s="424" t="s">
        <v>117</v>
      </c>
      <c r="F214" s="425"/>
      <c r="G214" s="425"/>
      <c r="H214" s="425"/>
      <c r="I214" s="425"/>
      <c r="J214" s="426" t="s">
        <v>147</v>
      </c>
      <c r="K214" s="426"/>
      <c r="L214" s="22">
        <v>5040</v>
      </c>
      <c r="M214" s="22"/>
      <c r="N214" s="22"/>
      <c r="O214" s="22"/>
      <c r="P214" s="52"/>
      <c r="Q214" s="77"/>
    </row>
    <row r="215" spans="1:17" s="39" customFormat="1" ht="17.25" customHeight="1">
      <c r="A215" s="15"/>
      <c r="B215" s="16"/>
      <c r="C215" s="16"/>
      <c r="D215" s="71"/>
      <c r="E215" s="427" t="s">
        <v>138</v>
      </c>
      <c r="F215" s="428"/>
      <c r="G215" s="428"/>
      <c r="H215" s="428"/>
      <c r="I215" s="428"/>
      <c r="J215" s="428"/>
      <c r="K215" s="73"/>
      <c r="L215" s="22">
        <v>960</v>
      </c>
      <c r="M215" s="22"/>
      <c r="N215" s="22"/>
      <c r="O215" s="22"/>
      <c r="P215" s="52"/>
      <c r="Q215" s="77"/>
    </row>
    <row r="216" spans="1:17" s="39" customFormat="1" ht="17.25" customHeight="1">
      <c r="A216" s="15"/>
      <c r="B216" s="16"/>
      <c r="C216" s="16"/>
      <c r="D216" s="71"/>
      <c r="E216" s="424" t="s">
        <v>141</v>
      </c>
      <c r="F216" s="425"/>
      <c r="G216" s="425"/>
      <c r="H216" s="425"/>
      <c r="I216" s="425"/>
      <c r="J216" s="426" t="s">
        <v>148</v>
      </c>
      <c r="K216" s="426"/>
      <c r="L216" s="22">
        <v>960</v>
      </c>
      <c r="M216" s="22"/>
      <c r="N216" s="22"/>
      <c r="O216" s="22"/>
      <c r="P216" s="52"/>
      <c r="Q216" s="77"/>
    </row>
    <row r="217" spans="1:17" s="39" customFormat="1" ht="17.25" customHeight="1">
      <c r="A217" s="15"/>
      <c r="B217" s="16"/>
      <c r="C217" s="16"/>
      <c r="D217" s="71"/>
      <c r="E217" s="424" t="s">
        <v>143</v>
      </c>
      <c r="F217" s="425"/>
      <c r="G217" s="425"/>
      <c r="H217" s="425"/>
      <c r="I217" s="425"/>
      <c r="J217" s="426" t="s">
        <v>149</v>
      </c>
      <c r="K217" s="426"/>
      <c r="L217" s="22">
        <v>3600</v>
      </c>
      <c r="M217" s="22"/>
      <c r="N217" s="22"/>
      <c r="O217" s="22"/>
      <c r="P217" s="52"/>
      <c r="Q217" s="77"/>
    </row>
    <row r="218" spans="1:17" s="39" customFormat="1" ht="17.25" customHeight="1">
      <c r="A218" s="15"/>
      <c r="B218" s="16"/>
      <c r="C218" s="16"/>
      <c r="D218" s="71"/>
      <c r="E218" s="427" t="s">
        <v>33</v>
      </c>
      <c r="F218" s="428"/>
      <c r="G218" s="428"/>
      <c r="H218" s="428"/>
      <c r="I218" s="428"/>
      <c r="J218" s="428"/>
      <c r="K218" s="73"/>
      <c r="L218" s="22">
        <f>SUM(L219:L220)</f>
        <v>1440</v>
      </c>
      <c r="M218" s="22"/>
      <c r="N218" s="22"/>
      <c r="O218" s="22"/>
      <c r="P218" s="52"/>
      <c r="Q218" s="77"/>
    </row>
    <row r="219" spans="1:17" s="39" customFormat="1" ht="17.25" customHeight="1">
      <c r="A219" s="15"/>
      <c r="B219" s="16"/>
      <c r="C219" s="16"/>
      <c r="D219" s="71"/>
      <c r="E219" s="424" t="s">
        <v>34</v>
      </c>
      <c r="F219" s="425"/>
      <c r="G219" s="425"/>
      <c r="H219" s="425"/>
      <c r="I219" s="425"/>
      <c r="J219" s="426" t="s">
        <v>101</v>
      </c>
      <c r="K219" s="426"/>
      <c r="L219" s="22">
        <v>960</v>
      </c>
      <c r="M219" s="22"/>
      <c r="N219" s="22"/>
      <c r="O219" s="22"/>
      <c r="P219" s="52"/>
      <c r="Q219" s="77"/>
    </row>
    <row r="220" spans="1:17" s="39" customFormat="1" ht="17.25" customHeight="1">
      <c r="A220" s="15"/>
      <c r="B220" s="16"/>
      <c r="C220" s="16"/>
      <c r="D220" s="71"/>
      <c r="E220" s="424" t="s">
        <v>646</v>
      </c>
      <c r="F220" s="425"/>
      <c r="G220" s="425"/>
      <c r="H220" s="425"/>
      <c r="I220" s="425"/>
      <c r="J220" s="426" t="s">
        <v>69</v>
      </c>
      <c r="K220" s="426"/>
      <c r="L220" s="22">
        <v>480</v>
      </c>
      <c r="M220" s="22"/>
      <c r="N220" s="22"/>
      <c r="O220" s="22"/>
      <c r="P220" s="52"/>
      <c r="Q220" s="77"/>
    </row>
    <row r="221" spans="1:17" s="39" customFormat="1" ht="17.25" customHeight="1">
      <c r="A221" s="15"/>
      <c r="B221" s="16"/>
      <c r="C221" s="16"/>
      <c r="D221" s="71"/>
      <c r="E221" s="424" t="s">
        <v>45</v>
      </c>
      <c r="F221" s="425"/>
      <c r="G221" s="425"/>
      <c r="H221" s="425"/>
      <c r="I221" s="425"/>
      <c r="J221" s="426" t="s">
        <v>742</v>
      </c>
      <c r="K221" s="426"/>
      <c r="L221" s="22">
        <v>2018</v>
      </c>
      <c r="M221" s="22"/>
      <c r="N221" s="22"/>
      <c r="O221" s="22"/>
      <c r="P221" s="52"/>
      <c r="Q221" s="77"/>
    </row>
    <row r="222" spans="1:17" s="39" customFormat="1" ht="17.25" customHeight="1">
      <c r="A222" s="15"/>
      <c r="B222" s="16"/>
      <c r="C222" s="16"/>
      <c r="D222" s="72"/>
      <c r="E222" s="428" t="s">
        <v>40</v>
      </c>
      <c r="F222" s="428"/>
      <c r="G222" s="428"/>
      <c r="H222" s="428"/>
      <c r="I222" s="428"/>
      <c r="J222" s="428"/>
      <c r="K222" s="428"/>
      <c r="L222" s="429"/>
      <c r="M222" s="72"/>
      <c r="N222" s="22"/>
      <c r="O222" s="22"/>
      <c r="P222" s="52"/>
      <c r="Q222" s="77"/>
    </row>
    <row r="223" spans="1:17" s="39" customFormat="1" ht="17.25" customHeight="1">
      <c r="A223" s="15"/>
      <c r="B223" s="16"/>
      <c r="C223" s="16"/>
      <c r="D223" s="71"/>
      <c r="E223" s="430" t="s">
        <v>743</v>
      </c>
      <c r="F223" s="431"/>
      <c r="G223" s="431"/>
      <c r="H223" s="431"/>
      <c r="I223" s="431"/>
      <c r="J223" s="431"/>
      <c r="K223" s="431"/>
      <c r="L223" s="22">
        <v>6484</v>
      </c>
      <c r="M223" s="22"/>
      <c r="N223" s="41"/>
      <c r="O223" s="41"/>
      <c r="P223" s="52"/>
      <c r="Q223" s="77"/>
    </row>
    <row r="224" spans="1:17" s="39" customFormat="1" ht="17.25" customHeight="1">
      <c r="A224" s="15"/>
      <c r="B224" s="16"/>
      <c r="C224" s="16"/>
      <c r="D224" s="72"/>
      <c r="E224" s="428" t="s">
        <v>47</v>
      </c>
      <c r="F224" s="428"/>
      <c r="G224" s="428"/>
      <c r="H224" s="428"/>
      <c r="I224" s="428"/>
      <c r="J224" s="428"/>
      <c r="K224" s="428"/>
      <c r="L224" s="429"/>
      <c r="M224" s="72"/>
      <c r="N224" s="22"/>
      <c r="O224" s="22"/>
      <c r="P224" s="52"/>
      <c r="Q224" s="77"/>
    </row>
    <row r="225" spans="1:17" s="39" customFormat="1" ht="17.25" customHeight="1">
      <c r="A225" s="15"/>
      <c r="B225" s="16"/>
      <c r="C225" s="16"/>
      <c r="D225" s="71"/>
      <c r="E225" s="430" t="s">
        <v>744</v>
      </c>
      <c r="F225" s="431"/>
      <c r="G225" s="431"/>
      <c r="H225" s="431"/>
      <c r="I225" s="431"/>
      <c r="J225" s="431"/>
      <c r="K225" s="431"/>
      <c r="L225" s="22">
        <v>2594</v>
      </c>
      <c r="M225" s="22"/>
      <c r="N225" s="41"/>
      <c r="O225" s="41"/>
      <c r="P225" s="52"/>
      <c r="Q225" s="77"/>
    </row>
    <row r="226" spans="1:17" s="39" customFormat="1" ht="17.25" customHeight="1">
      <c r="A226" s="15"/>
      <c r="B226" s="16"/>
      <c r="C226" s="16"/>
      <c r="D226" s="72"/>
      <c r="E226" s="428" t="s">
        <v>150</v>
      </c>
      <c r="F226" s="428"/>
      <c r="G226" s="428"/>
      <c r="H226" s="428"/>
      <c r="I226" s="428"/>
      <c r="J226" s="428"/>
      <c r="K226" s="428"/>
      <c r="L226" s="429"/>
      <c r="M226" s="72"/>
      <c r="N226" s="22"/>
      <c r="O226" s="22"/>
      <c r="P226" s="52"/>
      <c r="Q226" s="77"/>
    </row>
    <row r="227" spans="1:17" s="39" customFormat="1" ht="17.25" customHeight="1">
      <c r="A227" s="15"/>
      <c r="B227" s="16"/>
      <c r="C227" s="16"/>
      <c r="D227" s="71"/>
      <c r="E227" s="430" t="s">
        <v>745</v>
      </c>
      <c r="F227" s="431"/>
      <c r="G227" s="431"/>
      <c r="H227" s="431"/>
      <c r="I227" s="431"/>
      <c r="J227" s="431"/>
      <c r="K227" s="431"/>
      <c r="L227" s="22">
        <v>2162</v>
      </c>
      <c r="M227" s="22"/>
      <c r="N227" s="41"/>
      <c r="O227" s="41"/>
      <c r="P227" s="52"/>
      <c r="Q227" s="77"/>
    </row>
    <row r="228" spans="1:17" s="39" customFormat="1" ht="17.25" customHeight="1">
      <c r="A228" s="15"/>
      <c r="B228" s="16"/>
      <c r="C228" s="16"/>
      <c r="D228" s="72"/>
      <c r="E228" s="428" t="s">
        <v>49</v>
      </c>
      <c r="F228" s="428"/>
      <c r="G228" s="428"/>
      <c r="H228" s="428"/>
      <c r="I228" s="428"/>
      <c r="J228" s="428"/>
      <c r="K228" s="428"/>
      <c r="L228" s="429"/>
      <c r="M228" s="72"/>
      <c r="N228" s="22"/>
      <c r="O228" s="22"/>
      <c r="P228" s="52"/>
      <c r="Q228" s="77"/>
    </row>
    <row r="229" spans="1:17" s="39" customFormat="1" ht="17.25" customHeight="1">
      <c r="A229" s="15"/>
      <c r="B229" s="16"/>
      <c r="C229" s="16"/>
      <c r="D229" s="71"/>
      <c r="E229" s="430" t="s">
        <v>746</v>
      </c>
      <c r="F229" s="431"/>
      <c r="G229" s="431"/>
      <c r="H229" s="431"/>
      <c r="I229" s="431"/>
      <c r="J229" s="431"/>
      <c r="K229" s="431"/>
      <c r="L229" s="22">
        <v>18154</v>
      </c>
      <c r="M229" s="22"/>
      <c r="N229" s="41"/>
      <c r="O229" s="41"/>
      <c r="P229" s="52"/>
      <c r="Q229" s="77"/>
    </row>
    <row r="230" spans="1:17" s="39" customFormat="1" ht="17.25" customHeight="1">
      <c r="A230" s="15"/>
      <c r="B230" s="16"/>
      <c r="C230" s="16"/>
      <c r="D230" s="71"/>
      <c r="E230" s="427" t="s">
        <v>92</v>
      </c>
      <c r="F230" s="428"/>
      <c r="G230" s="428"/>
      <c r="H230" s="428"/>
      <c r="I230" s="428"/>
      <c r="J230" s="428"/>
      <c r="K230" s="73"/>
      <c r="L230" s="22">
        <f>+L231</f>
        <v>603545</v>
      </c>
      <c r="M230" s="22"/>
      <c r="N230" s="22"/>
      <c r="O230" s="22"/>
      <c r="P230" s="52"/>
      <c r="Q230" s="77"/>
    </row>
    <row r="231" spans="1:17" s="39" customFormat="1" ht="17.25" customHeight="1">
      <c r="A231" s="15"/>
      <c r="B231" s="16"/>
      <c r="C231" s="16"/>
      <c r="D231" s="71"/>
      <c r="E231" s="427" t="s">
        <v>151</v>
      </c>
      <c r="F231" s="428"/>
      <c r="G231" s="428"/>
      <c r="H231" s="428"/>
      <c r="I231" s="428"/>
      <c r="J231" s="428"/>
      <c r="K231" s="73"/>
      <c r="L231" s="22">
        <f>L232+L233+L234+L235+L240+L241+L243+L245+L247+L249</f>
        <v>603545</v>
      </c>
      <c r="M231" s="22"/>
      <c r="N231" s="22"/>
      <c r="O231" s="22"/>
      <c r="P231" s="52"/>
      <c r="Q231" s="77"/>
    </row>
    <row r="232" spans="1:17" s="39" customFormat="1" ht="17.25" customHeight="1">
      <c r="A232" s="15"/>
      <c r="B232" s="16"/>
      <c r="C232" s="16"/>
      <c r="D232" s="71"/>
      <c r="E232" s="424" t="s">
        <v>747</v>
      </c>
      <c r="F232" s="425"/>
      <c r="G232" s="425"/>
      <c r="H232" s="425"/>
      <c r="I232" s="425"/>
      <c r="J232" s="426" t="s">
        <v>748</v>
      </c>
      <c r="K232" s="426"/>
      <c r="L232" s="22">
        <v>390537</v>
      </c>
      <c r="M232" s="22"/>
      <c r="N232" s="22"/>
      <c r="O232" s="22"/>
      <c r="P232" s="52"/>
      <c r="Q232" s="77"/>
    </row>
    <row r="233" spans="1:17" s="39" customFormat="1" ht="17.25" customHeight="1">
      <c r="A233" s="15"/>
      <c r="B233" s="16"/>
      <c r="C233" s="16"/>
      <c r="D233" s="71"/>
      <c r="E233" s="424" t="s">
        <v>55</v>
      </c>
      <c r="F233" s="425"/>
      <c r="G233" s="425"/>
      <c r="H233" s="425"/>
      <c r="I233" s="425"/>
      <c r="J233" s="426" t="s">
        <v>749</v>
      </c>
      <c r="K233" s="426"/>
      <c r="L233" s="22">
        <v>39054</v>
      </c>
      <c r="M233" s="22"/>
      <c r="N233" s="22"/>
      <c r="O233" s="22"/>
      <c r="P233" s="52"/>
      <c r="Q233" s="77"/>
    </row>
    <row r="234" spans="1:17" s="39" customFormat="1" ht="17.25" customHeight="1">
      <c r="A234" s="15"/>
      <c r="B234" s="16"/>
      <c r="C234" s="16"/>
      <c r="D234" s="71"/>
      <c r="E234" s="424" t="s">
        <v>56</v>
      </c>
      <c r="F234" s="425"/>
      <c r="G234" s="425"/>
      <c r="H234" s="425"/>
      <c r="I234" s="425"/>
      <c r="J234" s="426" t="s">
        <v>750</v>
      </c>
      <c r="K234" s="426"/>
      <c r="L234" s="22">
        <v>25200</v>
      </c>
      <c r="M234" s="22"/>
      <c r="N234" s="22"/>
      <c r="O234" s="22"/>
      <c r="P234" s="52"/>
      <c r="Q234" s="77"/>
    </row>
    <row r="235" spans="1:17" s="39" customFormat="1" ht="17.25" customHeight="1">
      <c r="A235" s="15"/>
      <c r="B235" s="16"/>
      <c r="C235" s="16"/>
      <c r="D235" s="71"/>
      <c r="E235" s="427" t="s">
        <v>99</v>
      </c>
      <c r="F235" s="428"/>
      <c r="G235" s="428"/>
      <c r="H235" s="428"/>
      <c r="I235" s="428"/>
      <c r="J235" s="428"/>
      <c r="K235" s="73"/>
      <c r="L235" s="22">
        <f>SUM(L236:L239)</f>
        <v>7560</v>
      </c>
      <c r="M235" s="22"/>
      <c r="N235" s="22"/>
      <c r="O235" s="22"/>
      <c r="P235" s="52"/>
      <c r="Q235" s="77"/>
    </row>
    <row r="236" spans="1:17" s="39" customFormat="1" ht="17.25" customHeight="1">
      <c r="A236" s="15"/>
      <c r="B236" s="16"/>
      <c r="C236" s="16"/>
      <c r="D236" s="71"/>
      <c r="E236" s="424" t="s">
        <v>100</v>
      </c>
      <c r="F236" s="425"/>
      <c r="G236" s="425"/>
      <c r="H236" s="425"/>
      <c r="I236" s="425"/>
      <c r="J236" s="426" t="s">
        <v>751</v>
      </c>
      <c r="K236" s="426"/>
      <c r="L236" s="22">
        <v>2880</v>
      </c>
      <c r="M236" s="22"/>
      <c r="N236" s="22"/>
      <c r="O236" s="22"/>
      <c r="P236" s="52"/>
      <c r="Q236" s="77"/>
    </row>
    <row r="237" spans="1:17" s="39" customFormat="1" ht="17.25" customHeight="1">
      <c r="A237" s="15"/>
      <c r="B237" s="16"/>
      <c r="C237" s="16"/>
      <c r="D237" s="71"/>
      <c r="E237" s="424" t="s">
        <v>752</v>
      </c>
      <c r="F237" s="425"/>
      <c r="G237" s="425"/>
      <c r="H237" s="425"/>
      <c r="I237" s="425"/>
      <c r="J237" s="426" t="s">
        <v>129</v>
      </c>
      <c r="K237" s="426"/>
      <c r="L237" s="22">
        <v>1200</v>
      </c>
      <c r="M237" s="22"/>
      <c r="N237" s="22"/>
      <c r="O237" s="22"/>
      <c r="P237" s="52"/>
      <c r="Q237" s="77"/>
    </row>
    <row r="238" spans="1:17" s="39" customFormat="1" ht="17.25" customHeight="1">
      <c r="A238" s="15"/>
      <c r="B238" s="16"/>
      <c r="C238" s="16"/>
      <c r="D238" s="71"/>
      <c r="E238" s="424" t="s">
        <v>753</v>
      </c>
      <c r="F238" s="425"/>
      <c r="G238" s="425"/>
      <c r="H238" s="425"/>
      <c r="I238" s="425"/>
      <c r="J238" s="426" t="s">
        <v>754</v>
      </c>
      <c r="K238" s="426"/>
      <c r="L238" s="22">
        <v>1800</v>
      </c>
      <c r="M238" s="22"/>
      <c r="N238" s="22"/>
      <c r="O238" s="22"/>
      <c r="P238" s="52"/>
      <c r="Q238" s="77"/>
    </row>
    <row r="239" spans="1:17" s="39" customFormat="1" ht="17.25" customHeight="1">
      <c r="A239" s="15"/>
      <c r="B239" s="16"/>
      <c r="C239" s="16"/>
      <c r="D239" s="71"/>
      <c r="E239" s="424" t="s">
        <v>152</v>
      </c>
      <c r="F239" s="425"/>
      <c r="G239" s="425"/>
      <c r="H239" s="425"/>
      <c r="I239" s="425"/>
      <c r="J239" s="426" t="s">
        <v>717</v>
      </c>
      <c r="K239" s="426"/>
      <c r="L239" s="22">
        <v>1680</v>
      </c>
      <c r="M239" s="22"/>
      <c r="N239" s="22"/>
      <c r="O239" s="22"/>
      <c r="P239" s="52"/>
      <c r="Q239" s="77"/>
    </row>
    <row r="240" spans="1:17" s="39" customFormat="1" ht="17.25" customHeight="1">
      <c r="A240" s="15"/>
      <c r="B240" s="16"/>
      <c r="C240" s="16"/>
      <c r="D240" s="71"/>
      <c r="E240" s="424" t="s">
        <v>153</v>
      </c>
      <c r="F240" s="425"/>
      <c r="G240" s="425"/>
      <c r="H240" s="425"/>
      <c r="I240" s="425"/>
      <c r="J240" s="426" t="s">
        <v>134</v>
      </c>
      <c r="K240" s="426"/>
      <c r="L240" s="22">
        <v>360</v>
      </c>
      <c r="M240" s="22"/>
      <c r="N240" s="22"/>
      <c r="O240" s="22"/>
      <c r="P240" s="52"/>
      <c r="Q240" s="77"/>
    </row>
    <row r="241" spans="1:17" s="39" customFormat="1" ht="17.25" customHeight="1">
      <c r="A241" s="15"/>
      <c r="B241" s="16"/>
      <c r="C241" s="16"/>
      <c r="D241" s="71"/>
      <c r="E241" s="424" t="s">
        <v>46</v>
      </c>
      <c r="F241" s="425"/>
      <c r="G241" s="425"/>
      <c r="H241" s="425"/>
      <c r="I241" s="425"/>
      <c r="J241" s="426" t="s">
        <v>755</v>
      </c>
      <c r="K241" s="426"/>
      <c r="L241" s="22">
        <v>10164</v>
      </c>
      <c r="M241" s="22"/>
      <c r="N241" s="22"/>
      <c r="O241" s="22"/>
      <c r="P241" s="52"/>
      <c r="Q241" s="77"/>
    </row>
    <row r="242" spans="1:17" s="39" customFormat="1" ht="17.25" customHeight="1">
      <c r="A242" s="15"/>
      <c r="B242" s="16"/>
      <c r="C242" s="16"/>
      <c r="D242" s="72"/>
      <c r="E242" s="428" t="s">
        <v>103</v>
      </c>
      <c r="F242" s="428"/>
      <c r="G242" s="428"/>
      <c r="H242" s="428"/>
      <c r="I242" s="428"/>
      <c r="J242" s="428"/>
      <c r="K242" s="428"/>
      <c r="L242" s="429"/>
      <c r="M242" s="72"/>
      <c r="N242" s="22"/>
      <c r="O242" s="22"/>
      <c r="P242" s="52"/>
      <c r="Q242" s="77"/>
    </row>
    <row r="243" spans="1:17" s="39" customFormat="1" ht="17.25" customHeight="1">
      <c r="A243" s="15"/>
      <c r="B243" s="16"/>
      <c r="C243" s="16"/>
      <c r="D243" s="71"/>
      <c r="E243" s="430" t="s">
        <v>756</v>
      </c>
      <c r="F243" s="431"/>
      <c r="G243" s="431"/>
      <c r="H243" s="431"/>
      <c r="I243" s="431"/>
      <c r="J243" s="431"/>
      <c r="K243" s="431"/>
      <c r="L243" s="22">
        <v>65334</v>
      </c>
      <c r="M243" s="22"/>
      <c r="N243" s="41"/>
      <c r="O243" s="41"/>
      <c r="P243" s="52"/>
      <c r="Q243" s="77"/>
    </row>
    <row r="244" spans="1:17" s="39" customFormat="1" ht="17.25" customHeight="1">
      <c r="A244" s="15"/>
      <c r="B244" s="16"/>
      <c r="C244" s="16"/>
      <c r="D244" s="72"/>
      <c r="E244" s="428" t="s">
        <v>106</v>
      </c>
      <c r="F244" s="428"/>
      <c r="G244" s="428"/>
      <c r="H244" s="428"/>
      <c r="I244" s="428"/>
      <c r="J244" s="428"/>
      <c r="K244" s="428"/>
      <c r="L244" s="429"/>
      <c r="M244" s="72"/>
      <c r="N244" s="22"/>
      <c r="O244" s="22"/>
      <c r="P244" s="52"/>
      <c r="Q244" s="77"/>
    </row>
    <row r="245" spans="1:17" s="39" customFormat="1" ht="17.25" customHeight="1">
      <c r="A245" s="15"/>
      <c r="B245" s="16"/>
      <c r="C245" s="16"/>
      <c r="D245" s="71"/>
      <c r="E245" s="430" t="s">
        <v>757</v>
      </c>
      <c r="F245" s="431"/>
      <c r="G245" s="431"/>
      <c r="H245" s="431"/>
      <c r="I245" s="431"/>
      <c r="J245" s="431"/>
      <c r="K245" s="431"/>
      <c r="L245" s="22">
        <v>8712</v>
      </c>
      <c r="M245" s="22"/>
      <c r="N245" s="41"/>
      <c r="O245" s="41"/>
      <c r="P245" s="52"/>
      <c r="Q245" s="77"/>
    </row>
    <row r="246" spans="1:17" s="39" customFormat="1" ht="17.25" customHeight="1">
      <c r="A246" s="15"/>
      <c r="B246" s="16"/>
      <c r="C246" s="16"/>
      <c r="D246" s="72"/>
      <c r="E246" s="428" t="s">
        <v>107</v>
      </c>
      <c r="F246" s="428"/>
      <c r="G246" s="428"/>
      <c r="H246" s="428"/>
      <c r="I246" s="428"/>
      <c r="J246" s="428"/>
      <c r="K246" s="428"/>
      <c r="L246" s="429"/>
      <c r="M246" s="72"/>
      <c r="N246" s="22"/>
      <c r="O246" s="22"/>
      <c r="P246" s="52"/>
      <c r="Q246" s="77"/>
    </row>
    <row r="247" spans="1:17" s="39" customFormat="1" ht="17.25" customHeight="1">
      <c r="A247" s="15"/>
      <c r="B247" s="16"/>
      <c r="C247" s="16"/>
      <c r="D247" s="71"/>
      <c r="E247" s="430" t="s">
        <v>758</v>
      </c>
      <c r="F247" s="431"/>
      <c r="G247" s="431"/>
      <c r="H247" s="431"/>
      <c r="I247" s="431"/>
      <c r="J247" s="431"/>
      <c r="K247" s="431"/>
      <c r="L247" s="22">
        <v>4356</v>
      </c>
      <c r="M247" s="22"/>
      <c r="N247" s="41"/>
      <c r="O247" s="41"/>
      <c r="P247" s="52"/>
      <c r="Q247" s="77"/>
    </row>
    <row r="248" spans="1:17" s="39" customFormat="1" ht="17.25" customHeight="1">
      <c r="A248" s="15"/>
      <c r="B248" s="16"/>
      <c r="C248" s="16"/>
      <c r="D248" s="72"/>
      <c r="E248" s="428" t="s">
        <v>108</v>
      </c>
      <c r="F248" s="428"/>
      <c r="G248" s="428"/>
      <c r="H248" s="428"/>
      <c r="I248" s="428"/>
      <c r="J248" s="428"/>
      <c r="K248" s="428"/>
      <c r="L248" s="429"/>
      <c r="M248" s="72"/>
      <c r="N248" s="22"/>
      <c r="O248" s="22"/>
      <c r="P248" s="52"/>
      <c r="Q248" s="77"/>
    </row>
    <row r="249" spans="1:17" s="39" customFormat="1" ht="17.25" customHeight="1">
      <c r="A249" s="15"/>
      <c r="B249" s="16"/>
      <c r="C249" s="16"/>
      <c r="D249" s="71"/>
      <c r="E249" s="430" t="s">
        <v>759</v>
      </c>
      <c r="F249" s="431"/>
      <c r="G249" s="431"/>
      <c r="H249" s="431"/>
      <c r="I249" s="431"/>
      <c r="J249" s="431"/>
      <c r="K249" s="431"/>
      <c r="L249" s="22">
        <v>52268</v>
      </c>
      <c r="M249" s="42"/>
      <c r="N249" s="43"/>
      <c r="O249" s="43"/>
      <c r="P249" s="52"/>
      <c r="Q249" s="77"/>
    </row>
    <row r="250" spans="1:17" s="39" customFormat="1" ht="17.25" customHeight="1">
      <c r="A250" s="36"/>
      <c r="B250" s="37" t="s">
        <v>8</v>
      </c>
      <c r="C250" s="37"/>
      <c r="D250" s="38"/>
      <c r="E250" s="407" t="s">
        <v>154</v>
      </c>
      <c r="F250" s="407"/>
      <c r="G250" s="407"/>
      <c r="H250" s="407"/>
      <c r="I250" s="407" t="s">
        <v>155</v>
      </c>
      <c r="J250" s="407"/>
      <c r="K250" s="407"/>
      <c r="L250" s="408"/>
      <c r="M250" s="22">
        <f>L251+L254</f>
        <v>85982</v>
      </c>
      <c r="N250" s="23">
        <v>41882</v>
      </c>
      <c r="O250" s="21">
        <f>+M250-N250</f>
        <v>44100</v>
      </c>
      <c r="P250" s="52"/>
      <c r="Q250" s="77"/>
    </row>
    <row r="251" spans="1:17" s="39" customFormat="1" ht="17.25" customHeight="1">
      <c r="A251" s="15"/>
      <c r="B251" s="16"/>
      <c r="C251" s="16"/>
      <c r="D251" s="71"/>
      <c r="E251" s="427" t="s">
        <v>156</v>
      </c>
      <c r="F251" s="428"/>
      <c r="G251" s="428"/>
      <c r="H251" s="428"/>
      <c r="I251" s="428"/>
      <c r="J251" s="428"/>
      <c r="K251" s="73"/>
      <c r="L251" s="22">
        <v>41882</v>
      </c>
      <c r="M251" s="22"/>
      <c r="N251" s="22"/>
      <c r="O251" s="22"/>
      <c r="P251" s="52"/>
      <c r="Q251" s="77"/>
    </row>
    <row r="252" spans="1:17" s="39" customFormat="1" ht="17.25" customHeight="1">
      <c r="A252" s="15"/>
      <c r="B252" s="16"/>
      <c r="C252" s="16"/>
      <c r="D252" s="71"/>
      <c r="E252" s="424" t="s">
        <v>93</v>
      </c>
      <c r="F252" s="425"/>
      <c r="G252" s="425"/>
      <c r="H252" s="425"/>
      <c r="I252" s="425"/>
      <c r="J252" s="426" t="s">
        <v>157</v>
      </c>
      <c r="K252" s="426"/>
      <c r="L252" s="22">
        <v>38560</v>
      </c>
      <c r="M252" s="22"/>
      <c r="N252" s="22"/>
      <c r="O252" s="22"/>
      <c r="P252" s="52"/>
      <c r="Q252" s="77"/>
    </row>
    <row r="253" spans="1:17" s="39" customFormat="1" ht="17.25" customHeight="1">
      <c r="A253" s="15"/>
      <c r="B253" s="16"/>
      <c r="C253" s="16"/>
      <c r="D253" s="71"/>
      <c r="E253" s="424" t="s">
        <v>40</v>
      </c>
      <c r="F253" s="425"/>
      <c r="G253" s="425"/>
      <c r="H253" s="425"/>
      <c r="I253" s="425"/>
      <c r="J253" s="426" t="s">
        <v>158</v>
      </c>
      <c r="K253" s="426"/>
      <c r="L253" s="22">
        <v>3322</v>
      </c>
      <c r="M253" s="22"/>
      <c r="N253" s="22"/>
      <c r="O253" s="22"/>
      <c r="P253" s="52"/>
      <c r="Q253" s="77"/>
    </row>
    <row r="254" spans="1:17" s="39" customFormat="1" ht="17.25" customHeight="1">
      <c r="A254" s="15"/>
      <c r="B254" s="16"/>
      <c r="C254" s="16"/>
      <c r="D254" s="71"/>
      <c r="E254" s="427" t="s">
        <v>92</v>
      </c>
      <c r="F254" s="428"/>
      <c r="G254" s="428"/>
      <c r="H254" s="428"/>
      <c r="I254" s="428"/>
      <c r="J254" s="428"/>
      <c r="K254" s="73"/>
      <c r="L254" s="22">
        <f>SUM(L255:L258)</f>
        <v>44100</v>
      </c>
      <c r="M254" s="22"/>
      <c r="N254" s="22"/>
      <c r="O254" s="22"/>
      <c r="P254" s="52"/>
      <c r="Q254" s="77"/>
    </row>
    <row r="255" spans="1:17" s="39" customFormat="1" ht="17.25" customHeight="1">
      <c r="A255" s="15"/>
      <c r="B255" s="16"/>
      <c r="C255" s="16"/>
      <c r="D255" s="71"/>
      <c r="E255" s="424" t="s">
        <v>605</v>
      </c>
      <c r="F255" s="425"/>
      <c r="G255" s="425"/>
      <c r="H255" s="425"/>
      <c r="I255" s="425"/>
      <c r="J255" s="426" t="s">
        <v>760</v>
      </c>
      <c r="K255" s="426"/>
      <c r="L255" s="22">
        <v>21600</v>
      </c>
      <c r="M255" s="22"/>
      <c r="N255" s="22"/>
      <c r="O255" s="22"/>
      <c r="P255" s="52"/>
      <c r="Q255" s="77"/>
    </row>
    <row r="256" spans="1:17" s="39" customFormat="1" ht="17.25" customHeight="1">
      <c r="A256" s="15"/>
      <c r="B256" s="16"/>
      <c r="C256" s="16"/>
      <c r="D256" s="71"/>
      <c r="E256" s="424" t="s">
        <v>606</v>
      </c>
      <c r="F256" s="425"/>
      <c r="G256" s="425"/>
      <c r="H256" s="425"/>
      <c r="I256" s="425"/>
      <c r="J256" s="426" t="s">
        <v>761</v>
      </c>
      <c r="K256" s="426"/>
      <c r="L256" s="22">
        <v>16200</v>
      </c>
      <c r="M256" s="22"/>
      <c r="N256" s="22"/>
      <c r="O256" s="22"/>
      <c r="P256" s="52"/>
      <c r="Q256" s="77"/>
    </row>
    <row r="257" spans="1:17" s="39" customFormat="1" ht="17.25" customHeight="1">
      <c r="A257" s="15"/>
      <c r="B257" s="16"/>
      <c r="C257" s="16"/>
      <c r="D257" s="71"/>
      <c r="E257" s="424" t="s">
        <v>762</v>
      </c>
      <c r="F257" s="425"/>
      <c r="G257" s="425"/>
      <c r="H257" s="425"/>
      <c r="I257" s="425"/>
      <c r="J257" s="426" t="s">
        <v>763</v>
      </c>
      <c r="K257" s="426"/>
      <c r="L257" s="22">
        <v>5400</v>
      </c>
      <c r="M257" s="22"/>
      <c r="N257" s="22"/>
      <c r="O257" s="22"/>
      <c r="P257" s="52"/>
      <c r="Q257" s="77"/>
    </row>
    <row r="258" spans="1:17" s="39" customFormat="1" ht="17.25" customHeight="1">
      <c r="A258" s="15"/>
      <c r="B258" s="16"/>
      <c r="C258" s="16"/>
      <c r="D258" s="71"/>
      <c r="E258" s="424" t="s">
        <v>764</v>
      </c>
      <c r="F258" s="425"/>
      <c r="G258" s="425"/>
      <c r="H258" s="425"/>
      <c r="I258" s="425"/>
      <c r="J258" s="432" t="s">
        <v>765</v>
      </c>
      <c r="K258" s="432"/>
      <c r="L258" s="22">
        <v>900</v>
      </c>
      <c r="M258" s="22"/>
      <c r="N258" s="22"/>
      <c r="O258" s="22"/>
      <c r="P258" s="52"/>
      <c r="Q258" s="77"/>
    </row>
    <row r="259" spans="1:17" s="39" customFormat="1" ht="17.25" customHeight="1">
      <c r="A259" s="36"/>
      <c r="B259" s="37" t="s">
        <v>8</v>
      </c>
      <c r="C259" s="37"/>
      <c r="D259" s="433" t="s">
        <v>159</v>
      </c>
      <c r="E259" s="433"/>
      <c r="F259" s="433"/>
      <c r="G259" s="433"/>
      <c r="H259" s="433" t="s">
        <v>160</v>
      </c>
      <c r="I259" s="433"/>
      <c r="J259" s="433"/>
      <c r="K259" s="433"/>
      <c r="L259" s="434"/>
      <c r="M259" s="20">
        <f>+M260</f>
        <v>1149399</v>
      </c>
      <c r="N259" s="20">
        <f>+N260</f>
        <v>1060388</v>
      </c>
      <c r="O259" s="20">
        <f>+O260</f>
        <v>89011</v>
      </c>
      <c r="P259" s="52"/>
      <c r="Q259" s="77"/>
    </row>
    <row r="260" spans="1:17" s="39" customFormat="1" ht="17.25" customHeight="1">
      <c r="A260" s="36"/>
      <c r="B260" s="37" t="s">
        <v>8</v>
      </c>
      <c r="C260" s="37"/>
      <c r="D260" s="38"/>
      <c r="E260" s="407" t="s">
        <v>114</v>
      </c>
      <c r="F260" s="407"/>
      <c r="G260" s="407"/>
      <c r="H260" s="407"/>
      <c r="I260" s="407" t="s">
        <v>160</v>
      </c>
      <c r="J260" s="407"/>
      <c r="K260" s="407"/>
      <c r="L260" s="408"/>
      <c r="M260" s="50">
        <f>+L261+L266+L271</f>
        <v>1149399</v>
      </c>
      <c r="N260" s="21">
        <v>1060388</v>
      </c>
      <c r="O260" s="21">
        <f>+M260-N260</f>
        <v>89011</v>
      </c>
      <c r="P260" s="52"/>
      <c r="Q260" s="77"/>
    </row>
    <row r="261" spans="1:17" s="39" customFormat="1" ht="17.25" customHeight="1">
      <c r="A261" s="15"/>
      <c r="B261" s="16"/>
      <c r="C261" s="16"/>
      <c r="D261" s="71"/>
      <c r="E261" s="427" t="s">
        <v>161</v>
      </c>
      <c r="F261" s="428"/>
      <c r="G261" s="428"/>
      <c r="H261" s="428"/>
      <c r="I261" s="428"/>
      <c r="J261" s="428"/>
      <c r="K261" s="73"/>
      <c r="L261" s="22">
        <f>SUM(L262:L265)</f>
        <v>818721</v>
      </c>
      <c r="M261" s="22"/>
      <c r="N261" s="22"/>
      <c r="O261" s="22"/>
      <c r="P261" s="52"/>
      <c r="Q261" s="77"/>
    </row>
    <row r="262" spans="1:17" s="39" customFormat="1" ht="17.25" customHeight="1">
      <c r="A262" s="15"/>
      <c r="B262" s="16"/>
      <c r="C262" s="16"/>
      <c r="D262" s="71"/>
      <c r="E262" s="424" t="s">
        <v>162</v>
      </c>
      <c r="F262" s="425"/>
      <c r="G262" s="425"/>
      <c r="H262" s="425"/>
      <c r="I262" s="425"/>
      <c r="J262" s="426" t="s">
        <v>766</v>
      </c>
      <c r="K262" s="426"/>
      <c r="L262" s="22">
        <v>405774</v>
      </c>
      <c r="M262" s="22"/>
      <c r="N262" s="22"/>
      <c r="O262" s="22"/>
      <c r="P262" s="52"/>
      <c r="Q262" s="77"/>
    </row>
    <row r="263" spans="1:17" s="39" customFormat="1" ht="17.25" customHeight="1">
      <c r="A263" s="15"/>
      <c r="B263" s="16"/>
      <c r="C263" s="16"/>
      <c r="D263" s="71"/>
      <c r="E263" s="424" t="s">
        <v>163</v>
      </c>
      <c r="F263" s="425"/>
      <c r="G263" s="425"/>
      <c r="H263" s="425"/>
      <c r="I263" s="425"/>
      <c r="J263" s="426" t="s">
        <v>767</v>
      </c>
      <c r="K263" s="426"/>
      <c r="L263" s="22">
        <v>330839</v>
      </c>
      <c r="M263" s="22"/>
      <c r="N263" s="22"/>
      <c r="O263" s="22"/>
      <c r="P263" s="52"/>
      <c r="Q263" s="77"/>
    </row>
    <row r="264" spans="1:17" s="39" customFormat="1" ht="17.25" customHeight="1">
      <c r="A264" s="15"/>
      <c r="B264" s="16"/>
      <c r="C264" s="16"/>
      <c r="D264" s="71"/>
      <c r="E264" s="424" t="s">
        <v>164</v>
      </c>
      <c r="F264" s="425"/>
      <c r="G264" s="425"/>
      <c r="H264" s="425"/>
      <c r="I264" s="425"/>
      <c r="J264" s="426" t="s">
        <v>768</v>
      </c>
      <c r="K264" s="426"/>
      <c r="L264" s="22">
        <v>32108</v>
      </c>
      <c r="M264" s="22"/>
      <c r="N264" s="22"/>
      <c r="O264" s="22"/>
      <c r="P264" s="52"/>
      <c r="Q264" s="77"/>
    </row>
    <row r="265" spans="1:17" s="39" customFormat="1" ht="17.25" customHeight="1">
      <c r="A265" s="15"/>
      <c r="B265" s="16"/>
      <c r="C265" s="16"/>
      <c r="D265" s="71"/>
      <c r="E265" s="424" t="s">
        <v>165</v>
      </c>
      <c r="F265" s="425"/>
      <c r="G265" s="425"/>
      <c r="H265" s="425"/>
      <c r="I265" s="425"/>
      <c r="J265" s="426" t="s">
        <v>166</v>
      </c>
      <c r="K265" s="426"/>
      <c r="L265" s="22">
        <v>50000</v>
      </c>
      <c r="M265" s="22"/>
      <c r="N265" s="22"/>
      <c r="O265" s="22"/>
      <c r="P265" s="52"/>
      <c r="Q265" s="77"/>
    </row>
    <row r="266" spans="1:17" s="39" customFormat="1" ht="17.25" customHeight="1">
      <c r="A266" s="15"/>
      <c r="B266" s="16"/>
      <c r="C266" s="16"/>
      <c r="D266" s="71"/>
      <c r="E266" s="427" t="s">
        <v>167</v>
      </c>
      <c r="F266" s="428"/>
      <c r="G266" s="428"/>
      <c r="H266" s="428"/>
      <c r="I266" s="428"/>
      <c r="J266" s="428"/>
      <c r="K266" s="73"/>
      <c r="L266" s="22">
        <f>SUM(L267:L270)</f>
        <v>277731</v>
      </c>
      <c r="M266" s="22"/>
      <c r="N266" s="22"/>
      <c r="O266" s="22"/>
      <c r="P266" s="52"/>
      <c r="Q266" s="77"/>
    </row>
    <row r="267" spans="1:17" s="39" customFormat="1" ht="17.25" customHeight="1">
      <c r="A267" s="15"/>
      <c r="B267" s="16"/>
      <c r="C267" s="16"/>
      <c r="D267" s="71"/>
      <c r="E267" s="424" t="s">
        <v>162</v>
      </c>
      <c r="F267" s="425"/>
      <c r="G267" s="425"/>
      <c r="H267" s="425"/>
      <c r="I267" s="425"/>
      <c r="J267" s="426" t="s">
        <v>769</v>
      </c>
      <c r="K267" s="426"/>
      <c r="L267" s="22">
        <v>263031</v>
      </c>
      <c r="M267" s="22"/>
      <c r="N267" s="22"/>
      <c r="O267" s="22"/>
      <c r="P267" s="52"/>
      <c r="Q267" s="77"/>
    </row>
    <row r="268" spans="1:17" s="39" customFormat="1" ht="17.25" customHeight="1">
      <c r="A268" s="15"/>
      <c r="B268" s="16"/>
      <c r="C268" s="16"/>
      <c r="D268" s="71"/>
      <c r="E268" s="424" t="s">
        <v>163</v>
      </c>
      <c r="F268" s="425"/>
      <c r="G268" s="425"/>
      <c r="H268" s="425"/>
      <c r="I268" s="425"/>
      <c r="J268" s="426" t="s">
        <v>770</v>
      </c>
      <c r="K268" s="426"/>
      <c r="L268" s="22">
        <v>7200</v>
      </c>
      <c r="M268" s="22"/>
      <c r="N268" s="22"/>
      <c r="O268" s="22"/>
      <c r="P268" s="52"/>
      <c r="Q268" s="77"/>
    </row>
    <row r="269" spans="1:17" s="39" customFormat="1" ht="17.25" customHeight="1">
      <c r="A269" s="15"/>
      <c r="B269" s="16"/>
      <c r="C269" s="16"/>
      <c r="D269" s="71"/>
      <c r="E269" s="424" t="s">
        <v>164</v>
      </c>
      <c r="F269" s="425"/>
      <c r="G269" s="425"/>
      <c r="H269" s="425"/>
      <c r="I269" s="425"/>
      <c r="J269" s="426" t="s">
        <v>771</v>
      </c>
      <c r="K269" s="426"/>
      <c r="L269" s="22">
        <v>2500</v>
      </c>
      <c r="M269" s="22"/>
      <c r="N269" s="22"/>
      <c r="O269" s="22"/>
      <c r="P269" s="52"/>
      <c r="Q269" s="77"/>
    </row>
    <row r="270" spans="1:17" s="39" customFormat="1" ht="17.25" customHeight="1">
      <c r="A270" s="15"/>
      <c r="B270" s="16"/>
      <c r="C270" s="16"/>
      <c r="D270" s="71"/>
      <c r="E270" s="424" t="s">
        <v>165</v>
      </c>
      <c r="F270" s="425"/>
      <c r="G270" s="425"/>
      <c r="H270" s="425"/>
      <c r="I270" s="425"/>
      <c r="J270" s="426" t="s">
        <v>168</v>
      </c>
      <c r="K270" s="426"/>
      <c r="L270" s="22">
        <v>5000</v>
      </c>
      <c r="M270" s="22"/>
      <c r="N270" s="22"/>
      <c r="O270" s="22"/>
      <c r="P270" s="52"/>
      <c r="Q270" s="77"/>
    </row>
    <row r="271" spans="1:17" s="39" customFormat="1" ht="17.25" customHeight="1">
      <c r="A271" s="15"/>
      <c r="B271" s="16"/>
      <c r="C271" s="16"/>
      <c r="D271" s="71"/>
      <c r="E271" s="427" t="s">
        <v>92</v>
      </c>
      <c r="F271" s="428"/>
      <c r="G271" s="428"/>
      <c r="H271" s="428"/>
      <c r="I271" s="428"/>
      <c r="J271" s="428"/>
      <c r="K271" s="73"/>
      <c r="L271" s="22">
        <f>L272+L275</f>
        <v>52947</v>
      </c>
      <c r="M271" s="22"/>
      <c r="N271" s="22"/>
      <c r="O271" s="22"/>
      <c r="P271" s="52"/>
      <c r="Q271" s="77"/>
    </row>
    <row r="272" spans="1:17" s="39" customFormat="1" ht="17.25" customHeight="1">
      <c r="A272" s="15"/>
      <c r="B272" s="16"/>
      <c r="C272" s="16"/>
      <c r="D272" s="71"/>
      <c r="E272" s="427" t="s">
        <v>169</v>
      </c>
      <c r="F272" s="428"/>
      <c r="G272" s="428"/>
      <c r="H272" s="428"/>
      <c r="I272" s="428"/>
      <c r="J272" s="428"/>
      <c r="K272" s="73"/>
      <c r="L272" s="22">
        <f>SUM(L273:L274)</f>
        <v>45710</v>
      </c>
      <c r="M272" s="22"/>
      <c r="N272" s="22"/>
      <c r="O272" s="22"/>
      <c r="P272" s="52"/>
      <c r="Q272" s="77"/>
    </row>
    <row r="273" spans="1:17" s="39" customFormat="1" ht="17.25" customHeight="1">
      <c r="A273" s="15"/>
      <c r="B273" s="16"/>
      <c r="C273" s="16"/>
      <c r="D273" s="71"/>
      <c r="E273" s="424" t="s">
        <v>170</v>
      </c>
      <c r="F273" s="425"/>
      <c r="G273" s="425"/>
      <c r="H273" s="425"/>
      <c r="I273" s="425"/>
      <c r="J273" s="426" t="s">
        <v>772</v>
      </c>
      <c r="K273" s="426"/>
      <c r="L273" s="22">
        <v>3493</v>
      </c>
      <c r="M273" s="22"/>
      <c r="N273" s="22"/>
      <c r="O273" s="22"/>
      <c r="P273" s="52"/>
      <c r="Q273" s="77"/>
    </row>
    <row r="274" spans="1:17" s="39" customFormat="1" ht="17.25" customHeight="1">
      <c r="A274" s="15"/>
      <c r="B274" s="16"/>
      <c r="C274" s="16"/>
      <c r="D274" s="71"/>
      <c r="E274" s="424" t="s">
        <v>171</v>
      </c>
      <c r="F274" s="425"/>
      <c r="G274" s="425"/>
      <c r="H274" s="425"/>
      <c r="I274" s="425"/>
      <c r="J274" s="426" t="s">
        <v>773</v>
      </c>
      <c r="K274" s="426"/>
      <c r="L274" s="22">
        <v>42217</v>
      </c>
      <c r="M274" s="22"/>
      <c r="N274" s="22"/>
      <c r="O274" s="22"/>
      <c r="P274" s="52"/>
      <c r="Q274" s="77"/>
    </row>
    <row r="275" spans="1:17" s="39" customFormat="1" ht="17.25" customHeight="1">
      <c r="A275" s="15"/>
      <c r="B275" s="16"/>
      <c r="C275" s="16"/>
      <c r="D275" s="71"/>
      <c r="E275" s="427" t="s">
        <v>172</v>
      </c>
      <c r="F275" s="428"/>
      <c r="G275" s="428"/>
      <c r="H275" s="428"/>
      <c r="I275" s="428"/>
      <c r="J275" s="428"/>
      <c r="K275" s="73"/>
      <c r="L275" s="22">
        <f>SUM(L276:L276)</f>
        <v>7237</v>
      </c>
      <c r="M275" s="22"/>
      <c r="N275" s="22"/>
      <c r="O275" s="22"/>
      <c r="P275" s="52"/>
      <c r="Q275" s="77"/>
    </row>
    <row r="276" spans="1:17" s="39" customFormat="1" ht="17.25" customHeight="1">
      <c r="A276" s="15"/>
      <c r="B276" s="16"/>
      <c r="C276" s="16"/>
      <c r="D276" s="71"/>
      <c r="E276" s="424" t="s">
        <v>170</v>
      </c>
      <c r="F276" s="425"/>
      <c r="G276" s="425"/>
      <c r="H276" s="425"/>
      <c r="I276" s="425"/>
      <c r="J276" s="426" t="s">
        <v>774</v>
      </c>
      <c r="K276" s="426"/>
      <c r="L276" s="22">
        <v>7237</v>
      </c>
      <c r="M276" s="22"/>
      <c r="N276" s="22"/>
      <c r="O276" s="22"/>
      <c r="P276" s="52"/>
      <c r="Q276" s="77"/>
    </row>
    <row r="277" spans="1:17" s="39" customFormat="1" ht="17.25" customHeight="1">
      <c r="A277" s="36"/>
      <c r="B277" s="37" t="s">
        <v>8</v>
      </c>
      <c r="C277" s="37"/>
      <c r="D277" s="433" t="s">
        <v>173</v>
      </c>
      <c r="E277" s="433"/>
      <c r="F277" s="433"/>
      <c r="G277" s="433"/>
      <c r="H277" s="433" t="s">
        <v>174</v>
      </c>
      <c r="I277" s="433"/>
      <c r="J277" s="433"/>
      <c r="K277" s="433"/>
      <c r="L277" s="434"/>
      <c r="M277" s="20">
        <f>+M278+M288</f>
        <v>1979236</v>
      </c>
      <c r="N277" s="20">
        <f>+N278+N288</f>
        <v>1712596</v>
      </c>
      <c r="O277" s="20">
        <f>+O278+O288</f>
        <v>266640</v>
      </c>
      <c r="P277" s="52"/>
      <c r="Q277" s="77"/>
    </row>
    <row r="278" spans="1:17" s="39" customFormat="1" ht="17.25" customHeight="1">
      <c r="A278" s="36"/>
      <c r="B278" s="37" t="s">
        <v>8</v>
      </c>
      <c r="C278" s="37"/>
      <c r="D278" s="38"/>
      <c r="E278" s="407" t="s">
        <v>15</v>
      </c>
      <c r="F278" s="407"/>
      <c r="G278" s="407"/>
      <c r="H278" s="407"/>
      <c r="I278" s="407" t="s">
        <v>175</v>
      </c>
      <c r="J278" s="407"/>
      <c r="K278" s="407"/>
      <c r="L278" s="408"/>
      <c r="M278" s="21">
        <f>L279+L281+L283</f>
        <v>1284026</v>
      </c>
      <c r="N278" s="21">
        <v>1188098</v>
      </c>
      <c r="O278" s="21">
        <f>+M278-N278</f>
        <v>95928</v>
      </c>
      <c r="P278" s="52"/>
      <c r="Q278" s="77"/>
    </row>
    <row r="279" spans="1:17" s="39" customFormat="1" ht="17.25" customHeight="1">
      <c r="A279" s="15"/>
      <c r="B279" s="16"/>
      <c r="C279" s="16"/>
      <c r="D279" s="71"/>
      <c r="E279" s="427" t="s">
        <v>176</v>
      </c>
      <c r="F279" s="428"/>
      <c r="G279" s="428"/>
      <c r="H279" s="428"/>
      <c r="I279" s="428"/>
      <c r="J279" s="428"/>
      <c r="K279" s="73"/>
      <c r="L279" s="22">
        <f>L280</f>
        <v>504923</v>
      </c>
      <c r="M279" s="22"/>
      <c r="N279" s="22"/>
      <c r="O279" s="22"/>
      <c r="P279" s="52"/>
      <c r="Q279" s="77"/>
    </row>
    <row r="280" spans="1:17" s="39" customFormat="1" ht="17.25" customHeight="1">
      <c r="A280" s="15"/>
      <c r="B280" s="16"/>
      <c r="C280" s="16"/>
      <c r="D280" s="71"/>
      <c r="E280" s="424" t="s">
        <v>177</v>
      </c>
      <c r="F280" s="425"/>
      <c r="G280" s="425"/>
      <c r="H280" s="425"/>
      <c r="I280" s="425"/>
      <c r="J280" s="426" t="s">
        <v>775</v>
      </c>
      <c r="K280" s="426"/>
      <c r="L280" s="22">
        <v>504923</v>
      </c>
      <c r="M280" s="22"/>
      <c r="N280" s="22"/>
      <c r="O280" s="22"/>
      <c r="P280" s="52"/>
      <c r="Q280" s="77"/>
    </row>
    <row r="281" spans="1:17" s="39" customFormat="1" ht="17.25" customHeight="1">
      <c r="A281" s="15"/>
      <c r="B281" s="16"/>
      <c r="C281" s="16"/>
      <c r="D281" s="71"/>
      <c r="E281" s="427" t="s">
        <v>178</v>
      </c>
      <c r="F281" s="428"/>
      <c r="G281" s="428"/>
      <c r="H281" s="428"/>
      <c r="I281" s="428"/>
      <c r="J281" s="428"/>
      <c r="K281" s="73"/>
      <c r="L281" s="22">
        <f>L282</f>
        <v>757385</v>
      </c>
      <c r="M281" s="22"/>
      <c r="N281" s="22"/>
      <c r="O281" s="22"/>
      <c r="P281" s="52"/>
      <c r="Q281" s="77"/>
    </row>
    <row r="282" spans="1:17" s="39" customFormat="1" ht="17.25" customHeight="1">
      <c r="A282" s="15"/>
      <c r="B282" s="16"/>
      <c r="C282" s="16"/>
      <c r="D282" s="71"/>
      <c r="E282" s="424" t="s">
        <v>177</v>
      </c>
      <c r="F282" s="425"/>
      <c r="G282" s="425"/>
      <c r="H282" s="425"/>
      <c r="I282" s="425"/>
      <c r="J282" s="426" t="s">
        <v>776</v>
      </c>
      <c r="K282" s="426"/>
      <c r="L282" s="22">
        <v>757385</v>
      </c>
      <c r="M282" s="22"/>
      <c r="N282" s="22"/>
      <c r="O282" s="22"/>
      <c r="P282" s="52"/>
      <c r="Q282" s="77"/>
    </row>
    <row r="283" spans="1:17" s="39" customFormat="1" ht="17.25" customHeight="1">
      <c r="A283" s="15"/>
      <c r="B283" s="16"/>
      <c r="C283" s="16"/>
      <c r="D283" s="71"/>
      <c r="E283" s="427" t="s">
        <v>92</v>
      </c>
      <c r="F283" s="428"/>
      <c r="G283" s="428"/>
      <c r="H283" s="428"/>
      <c r="I283" s="428"/>
      <c r="J283" s="428"/>
      <c r="K283" s="73"/>
      <c r="L283" s="22">
        <f>L284+L286</f>
        <v>21718</v>
      </c>
      <c r="M283" s="22"/>
      <c r="N283" s="22"/>
      <c r="O283" s="22"/>
      <c r="P283" s="52"/>
      <c r="Q283" s="77"/>
    </row>
    <row r="284" spans="1:17" s="39" customFormat="1" ht="17.25" customHeight="1">
      <c r="A284" s="15"/>
      <c r="B284" s="16"/>
      <c r="C284" s="16"/>
      <c r="D284" s="71"/>
      <c r="E284" s="427" t="s">
        <v>179</v>
      </c>
      <c r="F284" s="428"/>
      <c r="G284" s="428"/>
      <c r="H284" s="428"/>
      <c r="I284" s="428"/>
      <c r="J284" s="428"/>
      <c r="K284" s="73"/>
      <c r="L284" s="22">
        <f>L285</f>
        <v>8687</v>
      </c>
      <c r="M284" s="22"/>
      <c r="N284" s="22"/>
      <c r="O284" s="22"/>
      <c r="P284" s="52"/>
      <c r="Q284" s="77"/>
    </row>
    <row r="285" spans="1:17" s="39" customFormat="1" ht="17.25" customHeight="1">
      <c r="A285" s="15"/>
      <c r="B285" s="16"/>
      <c r="C285" s="16"/>
      <c r="D285" s="71"/>
      <c r="E285" s="424" t="s">
        <v>180</v>
      </c>
      <c r="F285" s="425"/>
      <c r="G285" s="425"/>
      <c r="H285" s="425"/>
      <c r="I285" s="425"/>
      <c r="J285" s="426" t="s">
        <v>777</v>
      </c>
      <c r="K285" s="426"/>
      <c r="L285" s="22">
        <v>8687</v>
      </c>
      <c r="M285" s="22"/>
      <c r="N285" s="22"/>
      <c r="O285" s="22"/>
      <c r="P285" s="52"/>
      <c r="Q285" s="77"/>
    </row>
    <row r="286" spans="1:17" s="39" customFormat="1" ht="17.25" customHeight="1">
      <c r="A286" s="15"/>
      <c r="B286" s="16"/>
      <c r="C286" s="16"/>
      <c r="D286" s="71"/>
      <c r="E286" s="427" t="s">
        <v>181</v>
      </c>
      <c r="F286" s="428"/>
      <c r="G286" s="428"/>
      <c r="H286" s="428"/>
      <c r="I286" s="428"/>
      <c r="J286" s="428"/>
      <c r="K286" s="73"/>
      <c r="L286" s="22">
        <f>L287</f>
        <v>13031</v>
      </c>
      <c r="M286" s="22"/>
      <c r="N286" s="22"/>
      <c r="O286" s="22"/>
      <c r="P286" s="52"/>
      <c r="Q286" s="77"/>
    </row>
    <row r="287" spans="1:17" s="39" customFormat="1" ht="17.25" customHeight="1">
      <c r="A287" s="15"/>
      <c r="B287" s="16"/>
      <c r="C287" s="16"/>
      <c r="D287" s="71"/>
      <c r="E287" s="424" t="s">
        <v>180</v>
      </c>
      <c r="F287" s="425"/>
      <c r="G287" s="425"/>
      <c r="H287" s="425"/>
      <c r="I287" s="425"/>
      <c r="J287" s="426" t="s">
        <v>778</v>
      </c>
      <c r="K287" s="426"/>
      <c r="L287" s="22">
        <v>13031</v>
      </c>
      <c r="M287" s="22"/>
      <c r="N287" s="22"/>
      <c r="O287" s="22"/>
      <c r="P287" s="52"/>
      <c r="Q287" s="77"/>
    </row>
    <row r="288" spans="1:17" s="39" customFormat="1" ht="17.25" customHeight="1">
      <c r="A288" s="36"/>
      <c r="B288" s="37" t="s">
        <v>8</v>
      </c>
      <c r="C288" s="37"/>
      <c r="D288" s="38"/>
      <c r="E288" s="407" t="s">
        <v>182</v>
      </c>
      <c r="F288" s="407"/>
      <c r="G288" s="407"/>
      <c r="H288" s="407"/>
      <c r="I288" s="407" t="s">
        <v>183</v>
      </c>
      <c r="J288" s="407"/>
      <c r="K288" s="407"/>
      <c r="L288" s="408"/>
      <c r="M288" s="21">
        <f>L289+L292+L295</f>
        <v>695210</v>
      </c>
      <c r="N288" s="21">
        <v>524498</v>
      </c>
      <c r="O288" s="21">
        <f>+M288-N288</f>
        <v>170712</v>
      </c>
      <c r="P288" s="52"/>
      <c r="Q288" s="77"/>
    </row>
    <row r="289" spans="1:17" s="39" customFormat="1" ht="17.25" customHeight="1">
      <c r="A289" s="15"/>
      <c r="B289" s="16"/>
      <c r="C289" s="16"/>
      <c r="D289" s="71"/>
      <c r="E289" s="427" t="s">
        <v>176</v>
      </c>
      <c r="F289" s="428"/>
      <c r="G289" s="428"/>
      <c r="H289" s="428"/>
      <c r="I289" s="428"/>
      <c r="J289" s="428"/>
      <c r="K289" s="73"/>
      <c r="L289" s="22">
        <f>SUM(L290:L291)</f>
        <v>240154</v>
      </c>
      <c r="M289" s="22"/>
      <c r="N289" s="22"/>
      <c r="O289" s="22"/>
      <c r="P289" s="52"/>
      <c r="Q289" s="77"/>
    </row>
    <row r="290" spans="1:17" s="39" customFormat="1" ht="17.25" customHeight="1">
      <c r="A290" s="15"/>
      <c r="B290" s="16"/>
      <c r="C290" s="16"/>
      <c r="D290" s="71"/>
      <c r="E290" s="424" t="s">
        <v>163</v>
      </c>
      <c r="F290" s="425"/>
      <c r="G290" s="425"/>
      <c r="H290" s="425"/>
      <c r="I290" s="425"/>
      <c r="J290" s="426" t="s">
        <v>779</v>
      </c>
      <c r="K290" s="426"/>
      <c r="L290" s="22">
        <v>219158</v>
      </c>
      <c r="M290" s="22"/>
      <c r="N290" s="22"/>
      <c r="O290" s="22"/>
      <c r="P290" s="52"/>
      <c r="Q290" s="77"/>
    </row>
    <row r="291" spans="1:17" s="39" customFormat="1" ht="17.25" customHeight="1">
      <c r="A291" s="15"/>
      <c r="B291" s="16"/>
      <c r="C291" s="16"/>
      <c r="D291" s="71"/>
      <c r="E291" s="424" t="s">
        <v>164</v>
      </c>
      <c r="F291" s="425"/>
      <c r="G291" s="425"/>
      <c r="H291" s="425"/>
      <c r="I291" s="425"/>
      <c r="J291" s="426" t="s">
        <v>780</v>
      </c>
      <c r="K291" s="426"/>
      <c r="L291" s="22">
        <v>20996</v>
      </c>
      <c r="M291" s="22"/>
      <c r="N291" s="22"/>
      <c r="O291" s="22"/>
      <c r="P291" s="52"/>
      <c r="Q291" s="77"/>
    </row>
    <row r="292" spans="1:17" s="39" customFormat="1" ht="17.25" customHeight="1">
      <c r="A292" s="15"/>
      <c r="B292" s="16"/>
      <c r="C292" s="16"/>
      <c r="D292" s="71"/>
      <c r="E292" s="427" t="s">
        <v>178</v>
      </c>
      <c r="F292" s="428"/>
      <c r="G292" s="428"/>
      <c r="H292" s="428"/>
      <c r="I292" s="428"/>
      <c r="J292" s="428"/>
      <c r="K292" s="73"/>
      <c r="L292" s="22">
        <f>SUM(L293:L294)</f>
        <v>360231</v>
      </c>
      <c r="M292" s="22"/>
      <c r="N292" s="22"/>
      <c r="O292" s="22"/>
      <c r="P292" s="52"/>
      <c r="Q292" s="77"/>
    </row>
    <row r="293" spans="1:17" s="39" customFormat="1" ht="17.25" customHeight="1">
      <c r="A293" s="15"/>
      <c r="B293" s="16"/>
      <c r="C293" s="16"/>
      <c r="D293" s="71"/>
      <c r="E293" s="424" t="s">
        <v>163</v>
      </c>
      <c r="F293" s="425"/>
      <c r="G293" s="425"/>
      <c r="H293" s="425"/>
      <c r="I293" s="425"/>
      <c r="J293" s="426" t="s">
        <v>781</v>
      </c>
      <c r="K293" s="426"/>
      <c r="L293" s="22">
        <v>328737</v>
      </c>
      <c r="M293" s="22"/>
      <c r="N293" s="22"/>
      <c r="O293" s="22"/>
      <c r="P293" s="52"/>
      <c r="Q293" s="77"/>
    </row>
    <row r="294" spans="1:17" s="39" customFormat="1" ht="17.25" customHeight="1">
      <c r="A294" s="15"/>
      <c r="B294" s="16"/>
      <c r="C294" s="16"/>
      <c r="D294" s="71"/>
      <c r="E294" s="424" t="s">
        <v>164</v>
      </c>
      <c r="F294" s="425"/>
      <c r="G294" s="425"/>
      <c r="H294" s="425"/>
      <c r="I294" s="425"/>
      <c r="J294" s="426" t="s">
        <v>782</v>
      </c>
      <c r="K294" s="426"/>
      <c r="L294" s="22">
        <v>31494</v>
      </c>
      <c r="M294" s="22"/>
      <c r="N294" s="22"/>
      <c r="O294" s="22"/>
      <c r="P294" s="52"/>
      <c r="Q294" s="77"/>
    </row>
    <row r="295" spans="1:17" s="39" customFormat="1" ht="17.25" customHeight="1">
      <c r="A295" s="15"/>
      <c r="B295" s="16"/>
      <c r="C295" s="16"/>
      <c r="D295" s="71"/>
      <c r="E295" s="427" t="s">
        <v>92</v>
      </c>
      <c r="F295" s="428"/>
      <c r="G295" s="428"/>
      <c r="H295" s="428"/>
      <c r="I295" s="428"/>
      <c r="J295" s="428"/>
      <c r="K295" s="73"/>
      <c r="L295" s="22">
        <f>L296+L298</f>
        <v>94825</v>
      </c>
      <c r="M295" s="22"/>
      <c r="N295" s="22"/>
      <c r="O295" s="22"/>
      <c r="P295" s="52"/>
      <c r="Q295" s="77"/>
    </row>
    <row r="296" spans="1:17" s="39" customFormat="1" ht="17.25" customHeight="1">
      <c r="A296" s="15"/>
      <c r="B296" s="16"/>
      <c r="C296" s="16"/>
      <c r="D296" s="71"/>
      <c r="E296" s="427" t="s">
        <v>179</v>
      </c>
      <c r="F296" s="428"/>
      <c r="G296" s="428"/>
      <c r="H296" s="428"/>
      <c r="I296" s="428"/>
      <c r="J296" s="428"/>
      <c r="K296" s="73"/>
      <c r="L296" s="22">
        <f>L297</f>
        <v>37930</v>
      </c>
      <c r="M296" s="22"/>
      <c r="N296" s="22"/>
      <c r="O296" s="22"/>
      <c r="P296" s="52"/>
      <c r="Q296" s="77"/>
    </row>
    <row r="297" spans="1:17" s="39" customFormat="1" ht="17.25" customHeight="1">
      <c r="A297" s="15"/>
      <c r="B297" s="16"/>
      <c r="C297" s="16"/>
      <c r="D297" s="71"/>
      <c r="E297" s="424" t="s">
        <v>171</v>
      </c>
      <c r="F297" s="425"/>
      <c r="G297" s="425"/>
      <c r="H297" s="425"/>
      <c r="I297" s="425"/>
      <c r="J297" s="426" t="s">
        <v>783</v>
      </c>
      <c r="K297" s="426"/>
      <c r="L297" s="22">
        <v>37930</v>
      </c>
      <c r="M297" s="22"/>
      <c r="N297" s="22"/>
      <c r="O297" s="22"/>
      <c r="P297" s="52"/>
      <c r="Q297" s="77"/>
    </row>
    <row r="298" spans="1:17" s="39" customFormat="1" ht="17.25" customHeight="1">
      <c r="A298" s="15"/>
      <c r="B298" s="16"/>
      <c r="C298" s="16"/>
      <c r="D298" s="71"/>
      <c r="E298" s="427" t="s">
        <v>181</v>
      </c>
      <c r="F298" s="428"/>
      <c r="G298" s="428"/>
      <c r="H298" s="428"/>
      <c r="I298" s="428"/>
      <c r="J298" s="428"/>
      <c r="K298" s="73"/>
      <c r="L298" s="22">
        <f>L299</f>
        <v>56895</v>
      </c>
      <c r="M298" s="22"/>
      <c r="N298" s="22"/>
      <c r="O298" s="22"/>
      <c r="P298" s="52"/>
      <c r="Q298" s="77"/>
    </row>
    <row r="299" spans="1:17" s="39" customFormat="1" ht="17.25" customHeight="1">
      <c r="A299" s="15"/>
      <c r="B299" s="16"/>
      <c r="C299" s="16"/>
      <c r="D299" s="71"/>
      <c r="E299" s="424" t="s">
        <v>171</v>
      </c>
      <c r="F299" s="425"/>
      <c r="G299" s="425"/>
      <c r="H299" s="425"/>
      <c r="I299" s="425"/>
      <c r="J299" s="426" t="s">
        <v>784</v>
      </c>
      <c r="K299" s="426"/>
      <c r="L299" s="22">
        <v>56895</v>
      </c>
      <c r="M299" s="22"/>
      <c r="N299" s="22"/>
      <c r="O299" s="22"/>
      <c r="P299" s="52"/>
      <c r="Q299" s="77"/>
    </row>
    <row r="300" spans="1:17" ht="17.25" customHeight="1">
      <c r="A300" s="27"/>
      <c r="B300" s="28" t="s">
        <v>8</v>
      </c>
      <c r="C300" s="28"/>
      <c r="D300" s="405" t="s">
        <v>184</v>
      </c>
      <c r="E300" s="405"/>
      <c r="F300" s="405"/>
      <c r="G300" s="405"/>
      <c r="H300" s="405" t="s">
        <v>185</v>
      </c>
      <c r="I300" s="405"/>
      <c r="J300" s="405"/>
      <c r="K300" s="405"/>
      <c r="L300" s="406"/>
      <c r="M300" s="1">
        <f>+M301+M498+M510+M513+M515+M525</f>
        <v>2075902</v>
      </c>
      <c r="N300" s="1">
        <f>+N301+N498+N510+N513+N515+N525</f>
        <v>2106011</v>
      </c>
      <c r="O300" s="1">
        <f>+O301+O498+O510+O513+O515+O525</f>
        <v>-30109</v>
      </c>
      <c r="P300" s="52"/>
    </row>
    <row r="301" spans="1:17" ht="17.25" customHeight="1">
      <c r="A301" s="31"/>
      <c r="B301" s="32" t="s">
        <v>8</v>
      </c>
      <c r="C301" s="32"/>
      <c r="D301" s="405" t="s">
        <v>186</v>
      </c>
      <c r="E301" s="405"/>
      <c r="F301" s="405"/>
      <c r="G301" s="405"/>
      <c r="H301" s="405" t="s">
        <v>187</v>
      </c>
      <c r="I301" s="405"/>
      <c r="J301" s="405"/>
      <c r="K301" s="405"/>
      <c r="L301" s="406"/>
      <c r="M301" s="1">
        <f>+M302+M354+M364+M401+M420+M431+M445+M470+M472+M494</f>
        <v>1914623</v>
      </c>
      <c r="N301" s="1">
        <f>+N302+N354+N364+N401+N420+N431+N445+N470+N472+N494</f>
        <v>1752366</v>
      </c>
      <c r="O301" s="1">
        <f>+O302+O354+O364+O401+O420+O431+O445+O470+O472+O494</f>
        <v>162257</v>
      </c>
      <c r="P301" s="52"/>
    </row>
    <row r="302" spans="1:17" ht="17.25" customHeight="1">
      <c r="A302" s="3"/>
      <c r="B302" s="4" t="s">
        <v>8</v>
      </c>
      <c r="C302" s="4"/>
      <c r="D302" s="6"/>
      <c r="E302" s="435" t="s">
        <v>15</v>
      </c>
      <c r="F302" s="435"/>
      <c r="G302" s="435"/>
      <c r="H302" s="435"/>
      <c r="I302" s="435" t="s">
        <v>188</v>
      </c>
      <c r="J302" s="435"/>
      <c r="K302" s="435"/>
      <c r="L302" s="436"/>
      <c r="M302" s="5">
        <f>+L303+L322+L329+L330+L331+L332</f>
        <v>140100</v>
      </c>
      <c r="N302" s="5">
        <v>123340</v>
      </c>
      <c r="O302" s="21">
        <f>+M302-N302</f>
        <v>16760</v>
      </c>
      <c r="P302" s="52"/>
    </row>
    <row r="303" spans="1:17" ht="17.25" customHeight="1">
      <c r="A303" s="2"/>
      <c r="B303" s="7"/>
      <c r="C303" s="7"/>
      <c r="D303" s="66"/>
      <c r="E303" s="437" t="s">
        <v>189</v>
      </c>
      <c r="F303" s="438"/>
      <c r="G303" s="438"/>
      <c r="H303" s="438"/>
      <c r="I303" s="438"/>
      <c r="J303" s="438"/>
      <c r="K303" s="70"/>
      <c r="L303" s="8">
        <f>+SUM(L304:L318)</f>
        <v>30250</v>
      </c>
      <c r="M303" s="8"/>
      <c r="N303" s="8"/>
      <c r="O303" s="8"/>
      <c r="P303" s="52"/>
    </row>
    <row r="304" spans="1:17" ht="17.25" customHeight="1">
      <c r="A304" s="2"/>
      <c r="B304" s="7"/>
      <c r="C304" s="7"/>
      <c r="D304" s="66"/>
      <c r="E304" s="439" t="s">
        <v>190</v>
      </c>
      <c r="F304" s="440"/>
      <c r="G304" s="440"/>
      <c r="H304" s="440"/>
      <c r="I304" s="440"/>
      <c r="J304" s="441" t="s">
        <v>191</v>
      </c>
      <c r="K304" s="441"/>
      <c r="L304" s="8">
        <v>3200</v>
      </c>
      <c r="M304" s="8"/>
      <c r="N304" s="8"/>
      <c r="O304" s="8"/>
      <c r="P304" s="52"/>
    </row>
    <row r="305" spans="1:17" ht="17.25" customHeight="1">
      <c r="A305" s="2"/>
      <c r="B305" s="7"/>
      <c r="C305" s="7"/>
      <c r="D305" s="66"/>
      <c r="E305" s="439" t="s">
        <v>192</v>
      </c>
      <c r="F305" s="440"/>
      <c r="G305" s="440"/>
      <c r="H305" s="440"/>
      <c r="I305" s="440"/>
      <c r="J305" s="441" t="s">
        <v>193</v>
      </c>
      <c r="K305" s="441"/>
      <c r="L305" s="8">
        <v>4000</v>
      </c>
      <c r="M305" s="8"/>
      <c r="N305" s="8"/>
      <c r="O305" s="8"/>
      <c r="P305" s="52"/>
    </row>
    <row r="306" spans="1:17" ht="17.25" customHeight="1">
      <c r="A306" s="2"/>
      <c r="B306" s="7"/>
      <c r="C306" s="7"/>
      <c r="D306" s="66"/>
      <c r="E306" s="439" t="s">
        <v>194</v>
      </c>
      <c r="F306" s="440"/>
      <c r="G306" s="440"/>
      <c r="H306" s="440"/>
      <c r="I306" s="440"/>
      <c r="J306" s="441" t="s">
        <v>195</v>
      </c>
      <c r="K306" s="441"/>
      <c r="L306" s="8">
        <v>3000</v>
      </c>
      <c r="M306" s="8"/>
      <c r="N306" s="8"/>
      <c r="O306" s="8"/>
      <c r="P306" s="52"/>
    </row>
    <row r="307" spans="1:17" ht="17.25" customHeight="1">
      <c r="A307" s="2"/>
      <c r="B307" s="7"/>
      <c r="C307" s="7"/>
      <c r="D307" s="66"/>
      <c r="E307" s="439" t="s">
        <v>196</v>
      </c>
      <c r="F307" s="440"/>
      <c r="G307" s="440"/>
      <c r="H307" s="440"/>
      <c r="I307" s="440"/>
      <c r="J307" s="441" t="s">
        <v>197</v>
      </c>
      <c r="K307" s="441"/>
      <c r="L307" s="8">
        <f>140*30</f>
        <v>4200</v>
      </c>
      <c r="M307" s="8"/>
      <c r="N307" s="8"/>
      <c r="O307" s="8"/>
      <c r="P307" s="52"/>
    </row>
    <row r="308" spans="1:17" ht="17.25" customHeight="1">
      <c r="A308" s="2"/>
      <c r="B308" s="7"/>
      <c r="C308" s="7"/>
      <c r="D308" s="66"/>
      <c r="E308" s="439" t="s">
        <v>198</v>
      </c>
      <c r="F308" s="440"/>
      <c r="G308" s="440"/>
      <c r="H308" s="440"/>
      <c r="I308" s="440"/>
      <c r="J308" s="441" t="s">
        <v>199</v>
      </c>
      <c r="K308" s="441"/>
      <c r="L308" s="8">
        <v>3000</v>
      </c>
      <c r="M308" s="8"/>
      <c r="N308" s="8"/>
      <c r="O308" s="8"/>
      <c r="P308" s="52"/>
    </row>
    <row r="309" spans="1:17" ht="17.25" customHeight="1">
      <c r="A309" s="2"/>
      <c r="B309" s="7"/>
      <c r="C309" s="7"/>
      <c r="D309" s="66"/>
      <c r="E309" s="439" t="s">
        <v>200</v>
      </c>
      <c r="F309" s="440"/>
      <c r="G309" s="440"/>
      <c r="H309" s="440"/>
      <c r="I309" s="440"/>
      <c r="J309" s="441" t="s">
        <v>201</v>
      </c>
      <c r="K309" s="441"/>
      <c r="L309" s="8">
        <v>500</v>
      </c>
      <c r="M309" s="8"/>
      <c r="N309" s="8"/>
      <c r="O309" s="8"/>
      <c r="P309" s="52"/>
    </row>
    <row r="310" spans="1:17" ht="17.25" customHeight="1">
      <c r="A310" s="2"/>
      <c r="B310" s="7"/>
      <c r="C310" s="7"/>
      <c r="D310" s="66"/>
      <c r="E310" s="439" t="s">
        <v>202</v>
      </c>
      <c r="F310" s="440"/>
      <c r="G310" s="440"/>
      <c r="H310" s="440"/>
      <c r="I310" s="440"/>
      <c r="J310" s="441" t="s">
        <v>203</v>
      </c>
      <c r="K310" s="441"/>
      <c r="L310" s="8">
        <v>2400</v>
      </c>
      <c r="M310" s="8"/>
      <c r="N310" s="8"/>
      <c r="O310" s="8"/>
      <c r="P310" s="52"/>
    </row>
    <row r="311" spans="1:17" ht="17.25" customHeight="1">
      <c r="A311" s="2"/>
      <c r="B311" s="7"/>
      <c r="C311" s="7"/>
      <c r="D311" s="66"/>
      <c r="E311" s="439" t="s">
        <v>204</v>
      </c>
      <c r="F311" s="440"/>
      <c r="G311" s="440"/>
      <c r="H311" s="440"/>
      <c r="I311" s="440"/>
      <c r="J311" s="441" t="s">
        <v>205</v>
      </c>
      <c r="K311" s="441"/>
      <c r="L311" s="8">
        <v>1800</v>
      </c>
      <c r="M311" s="8"/>
      <c r="N311" s="8"/>
      <c r="O311" s="8"/>
      <c r="P311" s="52"/>
    </row>
    <row r="312" spans="1:17" ht="17.25" customHeight="1">
      <c r="A312" s="2"/>
      <c r="B312" s="7"/>
      <c r="C312" s="7"/>
      <c r="D312" s="66"/>
      <c r="E312" s="439" t="s">
        <v>206</v>
      </c>
      <c r="F312" s="440"/>
      <c r="G312" s="440"/>
      <c r="H312" s="440"/>
      <c r="I312" s="440"/>
      <c r="J312" s="441" t="s">
        <v>207</v>
      </c>
      <c r="K312" s="441"/>
      <c r="L312" s="8">
        <v>1000</v>
      </c>
      <c r="M312" s="8"/>
      <c r="N312" s="8"/>
      <c r="O312" s="8"/>
      <c r="P312" s="52"/>
    </row>
    <row r="313" spans="1:17" ht="17.25" customHeight="1">
      <c r="A313" s="2"/>
      <c r="B313" s="7"/>
      <c r="C313" s="7"/>
      <c r="D313" s="66"/>
      <c r="E313" s="439" t="s">
        <v>208</v>
      </c>
      <c r="F313" s="440"/>
      <c r="G313" s="440"/>
      <c r="H313" s="440"/>
      <c r="I313" s="440"/>
      <c r="J313" s="441" t="s">
        <v>209</v>
      </c>
      <c r="K313" s="441"/>
      <c r="L313" s="8">
        <v>2000</v>
      </c>
      <c r="M313" s="8"/>
      <c r="N313" s="8"/>
      <c r="O313" s="8"/>
      <c r="P313" s="52"/>
    </row>
    <row r="314" spans="1:17" ht="17.25" customHeight="1">
      <c r="A314" s="2"/>
      <c r="B314" s="7"/>
      <c r="C314" s="7"/>
      <c r="D314" s="66"/>
      <c r="E314" s="439" t="s">
        <v>210</v>
      </c>
      <c r="F314" s="440"/>
      <c r="G314" s="440"/>
      <c r="H314" s="440"/>
      <c r="I314" s="440"/>
      <c r="J314" s="441" t="s">
        <v>201</v>
      </c>
      <c r="K314" s="441"/>
      <c r="L314" s="8">
        <v>500</v>
      </c>
      <c r="M314" s="8"/>
      <c r="N314" s="8"/>
      <c r="O314" s="8"/>
      <c r="P314" s="52"/>
    </row>
    <row r="315" spans="1:17" ht="17.25" customHeight="1">
      <c r="A315" s="2"/>
      <c r="B315" s="7"/>
      <c r="C315" s="7"/>
      <c r="D315" s="66"/>
      <c r="E315" s="439" t="s">
        <v>211</v>
      </c>
      <c r="F315" s="440"/>
      <c r="G315" s="440"/>
      <c r="H315" s="440"/>
      <c r="I315" s="440"/>
      <c r="J315" s="441" t="s">
        <v>212</v>
      </c>
      <c r="K315" s="441"/>
      <c r="L315" s="8">
        <v>450</v>
      </c>
      <c r="M315" s="8"/>
      <c r="N315" s="8"/>
      <c r="O315" s="8"/>
      <c r="P315" s="52"/>
    </row>
    <row r="316" spans="1:17" s="55" customFormat="1" ht="17.25" customHeight="1">
      <c r="A316" s="53"/>
      <c r="B316" s="54"/>
      <c r="C316" s="54"/>
      <c r="D316" s="67"/>
      <c r="E316" s="442" t="s">
        <v>213</v>
      </c>
      <c r="F316" s="443"/>
      <c r="G316" s="443"/>
      <c r="H316" s="443"/>
      <c r="I316" s="443"/>
      <c r="J316" s="444" t="s">
        <v>214</v>
      </c>
      <c r="K316" s="444"/>
      <c r="L316" s="13">
        <v>1500</v>
      </c>
      <c r="M316" s="13"/>
      <c r="N316" s="13"/>
      <c r="O316" s="13"/>
      <c r="P316" s="78" t="s">
        <v>826</v>
      </c>
      <c r="Q316" s="79" t="s">
        <v>834</v>
      </c>
    </row>
    <row r="317" spans="1:17" s="55" customFormat="1" ht="17.25" customHeight="1">
      <c r="A317" s="53"/>
      <c r="B317" s="54"/>
      <c r="C317" s="54"/>
      <c r="D317" s="67"/>
      <c r="E317" s="442" t="s">
        <v>215</v>
      </c>
      <c r="F317" s="443"/>
      <c r="G317" s="443"/>
      <c r="H317" s="443"/>
      <c r="I317" s="443"/>
      <c r="J317" s="444" t="s">
        <v>216</v>
      </c>
      <c r="K317" s="444"/>
      <c r="L317" s="13">
        <v>500</v>
      </c>
      <c r="M317" s="13"/>
      <c r="N317" s="13"/>
      <c r="O317" s="13"/>
      <c r="P317" s="78" t="s">
        <v>826</v>
      </c>
      <c r="Q317" s="79" t="s">
        <v>834</v>
      </c>
    </row>
    <row r="318" spans="1:17" ht="17.25" customHeight="1">
      <c r="A318" s="2"/>
      <c r="B318" s="7"/>
      <c r="C318" s="7"/>
      <c r="D318" s="66"/>
      <c r="E318" s="437" t="s">
        <v>217</v>
      </c>
      <c r="F318" s="438"/>
      <c r="G318" s="438"/>
      <c r="H318" s="438"/>
      <c r="I318" s="438"/>
      <c r="J318" s="438"/>
      <c r="K318" s="70"/>
      <c r="L318" s="8">
        <f>+L319+L320+L321</f>
        <v>2200</v>
      </c>
      <c r="M318" s="8"/>
      <c r="N318" s="8"/>
      <c r="O318" s="8"/>
      <c r="P318" s="52"/>
    </row>
    <row r="319" spans="1:17" ht="17.25" customHeight="1">
      <c r="A319" s="2"/>
      <c r="B319" s="7"/>
      <c r="C319" s="7"/>
      <c r="D319" s="66"/>
      <c r="E319" s="439" t="s">
        <v>218</v>
      </c>
      <c r="F319" s="440"/>
      <c r="G319" s="440"/>
      <c r="H319" s="440"/>
      <c r="I319" s="440"/>
      <c r="J319" s="441" t="s">
        <v>219</v>
      </c>
      <c r="K319" s="441"/>
      <c r="L319" s="8">
        <f>440*2.5</f>
        <v>1100</v>
      </c>
      <c r="M319" s="8"/>
      <c r="N319" s="8"/>
      <c r="O319" s="8"/>
      <c r="P319" s="52"/>
    </row>
    <row r="320" spans="1:17" ht="17.25" customHeight="1">
      <c r="A320" s="2"/>
      <c r="B320" s="7"/>
      <c r="C320" s="7"/>
      <c r="D320" s="66"/>
      <c r="E320" s="439" t="s">
        <v>220</v>
      </c>
      <c r="F320" s="440"/>
      <c r="G320" s="440"/>
      <c r="H320" s="440"/>
      <c r="I320" s="440"/>
      <c r="J320" s="441" t="s">
        <v>221</v>
      </c>
      <c r="K320" s="441"/>
      <c r="L320" s="8">
        <f>1650*0.4</f>
        <v>660</v>
      </c>
      <c r="M320" s="8"/>
      <c r="N320" s="8"/>
      <c r="O320" s="8"/>
      <c r="P320" s="52"/>
    </row>
    <row r="321" spans="1:17" ht="17.25" customHeight="1">
      <c r="A321" s="2"/>
      <c r="B321" s="7"/>
      <c r="C321" s="7"/>
      <c r="D321" s="66"/>
      <c r="E321" s="439" t="s">
        <v>222</v>
      </c>
      <c r="F321" s="440"/>
      <c r="G321" s="440"/>
      <c r="H321" s="440"/>
      <c r="I321" s="440"/>
      <c r="J321" s="441" t="s">
        <v>223</v>
      </c>
      <c r="K321" s="441"/>
      <c r="L321" s="8">
        <f>550*0.8</f>
        <v>440</v>
      </c>
      <c r="M321" s="8"/>
      <c r="N321" s="8"/>
      <c r="O321" s="8"/>
      <c r="P321" s="52"/>
    </row>
    <row r="322" spans="1:17" ht="17.25" customHeight="1">
      <c r="A322" s="2"/>
      <c r="B322" s="7"/>
      <c r="C322" s="7"/>
      <c r="D322" s="66"/>
      <c r="E322" s="437" t="s">
        <v>224</v>
      </c>
      <c r="F322" s="438"/>
      <c r="G322" s="438"/>
      <c r="H322" s="438"/>
      <c r="I322" s="438"/>
      <c r="J322" s="438"/>
      <c r="K322" s="70"/>
      <c r="L322" s="8">
        <f>+SUM(L323:L328)</f>
        <v>25350</v>
      </c>
      <c r="M322" s="8"/>
      <c r="N322" s="8"/>
      <c r="O322" s="8"/>
      <c r="P322" s="52"/>
    </row>
    <row r="323" spans="1:17" ht="17.25" customHeight="1">
      <c r="A323" s="2"/>
      <c r="B323" s="7"/>
      <c r="C323" s="7"/>
      <c r="D323" s="66"/>
      <c r="E323" s="439" t="s">
        <v>225</v>
      </c>
      <c r="F323" s="440"/>
      <c r="G323" s="440"/>
      <c r="H323" s="440"/>
      <c r="I323" s="440"/>
      <c r="J323" s="441" t="s">
        <v>226</v>
      </c>
      <c r="K323" s="441"/>
      <c r="L323" s="8">
        <v>3600</v>
      </c>
      <c r="M323" s="8"/>
      <c r="N323" s="8"/>
      <c r="O323" s="8"/>
      <c r="P323" s="52"/>
    </row>
    <row r="324" spans="1:17" ht="17.25" customHeight="1">
      <c r="A324" s="2"/>
      <c r="B324" s="7"/>
      <c r="C324" s="7"/>
      <c r="D324" s="66"/>
      <c r="E324" s="439" t="s">
        <v>227</v>
      </c>
      <c r="F324" s="440"/>
      <c r="G324" s="440"/>
      <c r="H324" s="440"/>
      <c r="I324" s="440"/>
      <c r="J324" s="441" t="s">
        <v>228</v>
      </c>
      <c r="K324" s="441"/>
      <c r="L324" s="8">
        <v>6000</v>
      </c>
      <c r="M324" s="8"/>
      <c r="N324" s="8"/>
      <c r="O324" s="8"/>
      <c r="P324" s="52"/>
    </row>
    <row r="325" spans="1:17" ht="17.25" customHeight="1">
      <c r="A325" s="2"/>
      <c r="B325" s="7"/>
      <c r="C325" s="7"/>
      <c r="D325" s="66"/>
      <c r="E325" s="439" t="s">
        <v>229</v>
      </c>
      <c r="F325" s="440"/>
      <c r="G325" s="440"/>
      <c r="H325" s="440"/>
      <c r="I325" s="440"/>
      <c r="J325" s="441" t="s">
        <v>230</v>
      </c>
      <c r="K325" s="441"/>
      <c r="L325" s="8">
        <v>6000</v>
      </c>
      <c r="M325" s="8"/>
      <c r="N325" s="8"/>
      <c r="O325" s="8"/>
      <c r="P325" s="52"/>
    </row>
    <row r="326" spans="1:17" ht="17.25" customHeight="1">
      <c r="A326" s="2"/>
      <c r="B326" s="7"/>
      <c r="C326" s="7"/>
      <c r="D326" s="66"/>
      <c r="E326" s="439" t="s">
        <v>231</v>
      </c>
      <c r="F326" s="440"/>
      <c r="G326" s="440"/>
      <c r="H326" s="440"/>
      <c r="I326" s="440"/>
      <c r="J326" s="441" t="s">
        <v>232</v>
      </c>
      <c r="K326" s="441"/>
      <c r="L326" s="8">
        <v>8750</v>
      </c>
      <c r="M326" s="8"/>
      <c r="N326" s="8"/>
      <c r="O326" s="8"/>
      <c r="P326" s="52"/>
    </row>
    <row r="327" spans="1:17" ht="17.25" customHeight="1">
      <c r="A327" s="2"/>
      <c r="B327" s="7"/>
      <c r="C327" s="7"/>
      <c r="D327" s="66"/>
      <c r="E327" s="439" t="s">
        <v>233</v>
      </c>
      <c r="F327" s="440"/>
      <c r="G327" s="440"/>
      <c r="H327" s="440"/>
      <c r="I327" s="440"/>
      <c r="J327" s="441" t="s">
        <v>234</v>
      </c>
      <c r="K327" s="441"/>
      <c r="L327" s="8">
        <v>400</v>
      </c>
      <c r="M327" s="8"/>
      <c r="N327" s="8"/>
      <c r="O327" s="8"/>
      <c r="P327" s="52"/>
    </row>
    <row r="328" spans="1:17" ht="17.25" customHeight="1">
      <c r="A328" s="2"/>
      <c r="B328" s="7"/>
      <c r="C328" s="7"/>
      <c r="D328" s="66"/>
      <c r="E328" s="439" t="s">
        <v>235</v>
      </c>
      <c r="F328" s="440"/>
      <c r="G328" s="440"/>
      <c r="H328" s="440"/>
      <c r="I328" s="440"/>
      <c r="J328" s="441" t="s">
        <v>236</v>
      </c>
      <c r="K328" s="441"/>
      <c r="L328" s="8">
        <v>600</v>
      </c>
      <c r="M328" s="8"/>
      <c r="N328" s="8"/>
      <c r="O328" s="8"/>
      <c r="P328" s="52"/>
    </row>
    <row r="329" spans="1:17" ht="17.25" customHeight="1">
      <c r="A329" s="2"/>
      <c r="B329" s="7"/>
      <c r="C329" s="7"/>
      <c r="D329" s="66"/>
      <c r="E329" s="439" t="s">
        <v>237</v>
      </c>
      <c r="F329" s="440"/>
      <c r="G329" s="440"/>
      <c r="H329" s="440"/>
      <c r="I329" s="440"/>
      <c r="J329" s="441" t="s">
        <v>238</v>
      </c>
      <c r="K329" s="441"/>
      <c r="L329" s="8">
        <v>2000</v>
      </c>
      <c r="M329" s="8"/>
      <c r="N329" s="8"/>
      <c r="O329" s="8"/>
      <c r="P329" s="52"/>
    </row>
    <row r="330" spans="1:17" ht="17.25" customHeight="1">
      <c r="A330" s="2"/>
      <c r="B330" s="7"/>
      <c r="C330" s="7"/>
      <c r="D330" s="66"/>
      <c r="E330" s="439" t="s">
        <v>239</v>
      </c>
      <c r="F330" s="440"/>
      <c r="G330" s="440"/>
      <c r="H330" s="440"/>
      <c r="I330" s="440"/>
      <c r="J330" s="441" t="s">
        <v>240</v>
      </c>
      <c r="K330" s="441"/>
      <c r="L330" s="8">
        <v>2800</v>
      </c>
      <c r="M330" s="8"/>
      <c r="N330" s="8"/>
      <c r="O330" s="8"/>
      <c r="P330" s="52"/>
    </row>
    <row r="331" spans="1:17" ht="17.25" customHeight="1">
      <c r="A331" s="2"/>
      <c r="B331" s="7"/>
      <c r="C331" s="7"/>
      <c r="D331" s="66"/>
      <c r="E331" s="439" t="s">
        <v>241</v>
      </c>
      <c r="F331" s="440"/>
      <c r="G331" s="440"/>
      <c r="H331" s="440"/>
      <c r="I331" s="440"/>
      <c r="J331" s="441" t="s">
        <v>242</v>
      </c>
      <c r="K331" s="441"/>
      <c r="L331" s="8">
        <v>18000</v>
      </c>
      <c r="M331" s="8"/>
      <c r="N331" s="8"/>
      <c r="O331" s="8"/>
      <c r="P331" s="52"/>
    </row>
    <row r="332" spans="1:17" ht="17.25" customHeight="1">
      <c r="A332" s="2"/>
      <c r="B332" s="7"/>
      <c r="C332" s="7"/>
      <c r="D332" s="66"/>
      <c r="E332" s="437" t="s">
        <v>243</v>
      </c>
      <c r="F332" s="438"/>
      <c r="G332" s="438"/>
      <c r="H332" s="438"/>
      <c r="I332" s="438"/>
      <c r="J332" s="438"/>
      <c r="K332" s="70"/>
      <c r="L332" s="8">
        <f>+SUM(L333:L343)+SUM(L345:L346)+SUM(L348:L353)</f>
        <v>61700</v>
      </c>
      <c r="M332" s="8"/>
      <c r="N332" s="8"/>
      <c r="O332" s="8"/>
      <c r="P332" s="52"/>
    </row>
    <row r="333" spans="1:17" ht="17.25" customHeight="1">
      <c r="A333" s="2"/>
      <c r="B333" s="7"/>
      <c r="C333" s="7"/>
      <c r="D333" s="66"/>
      <c r="E333" s="439" t="s">
        <v>244</v>
      </c>
      <c r="F333" s="440"/>
      <c r="G333" s="440"/>
      <c r="H333" s="440"/>
      <c r="I333" s="440"/>
      <c r="J333" s="441" t="s">
        <v>245</v>
      </c>
      <c r="K333" s="441"/>
      <c r="L333" s="8">
        <v>6000</v>
      </c>
      <c r="M333" s="8"/>
      <c r="N333" s="8"/>
      <c r="O333" s="8"/>
      <c r="P333" s="52"/>
    </row>
    <row r="334" spans="1:17" s="25" customFormat="1" ht="17.25" customHeight="1">
      <c r="A334" s="17"/>
      <c r="B334" s="18"/>
      <c r="C334" s="18"/>
      <c r="D334" s="68"/>
      <c r="E334" s="445" t="s">
        <v>246</v>
      </c>
      <c r="F334" s="446"/>
      <c r="G334" s="446"/>
      <c r="H334" s="446"/>
      <c r="I334" s="446"/>
      <c r="J334" s="447" t="s">
        <v>247</v>
      </c>
      <c r="K334" s="447"/>
      <c r="L334" s="19">
        <v>6000</v>
      </c>
      <c r="M334" s="19"/>
      <c r="N334" s="19"/>
      <c r="O334" s="19"/>
      <c r="P334" s="80" t="s">
        <v>833</v>
      </c>
      <c r="Q334" s="33"/>
    </row>
    <row r="335" spans="1:17" ht="17.25" customHeight="1">
      <c r="A335" s="2"/>
      <c r="B335" s="7"/>
      <c r="C335" s="7"/>
      <c r="D335" s="66"/>
      <c r="E335" s="439" t="s">
        <v>248</v>
      </c>
      <c r="F335" s="440"/>
      <c r="G335" s="440"/>
      <c r="H335" s="440"/>
      <c r="I335" s="440"/>
      <c r="J335" s="441" t="s">
        <v>249</v>
      </c>
      <c r="K335" s="441"/>
      <c r="L335" s="8">
        <v>4000</v>
      </c>
      <c r="M335" s="8"/>
      <c r="N335" s="8"/>
      <c r="O335" s="8"/>
      <c r="P335" s="52"/>
    </row>
    <row r="336" spans="1:17" ht="17.25" customHeight="1">
      <c r="A336" s="2"/>
      <c r="B336" s="7"/>
      <c r="C336" s="7"/>
      <c r="D336" s="66"/>
      <c r="E336" s="439" t="s">
        <v>250</v>
      </c>
      <c r="F336" s="440"/>
      <c r="G336" s="440"/>
      <c r="H336" s="440"/>
      <c r="I336" s="440"/>
      <c r="J336" s="441" t="s">
        <v>251</v>
      </c>
      <c r="K336" s="441"/>
      <c r="L336" s="8">
        <v>3600</v>
      </c>
      <c r="M336" s="8"/>
      <c r="N336" s="8"/>
      <c r="O336" s="8"/>
      <c r="P336" s="52"/>
    </row>
    <row r="337" spans="1:16" ht="17.25" customHeight="1">
      <c r="A337" s="2"/>
      <c r="B337" s="7"/>
      <c r="C337" s="7"/>
      <c r="D337" s="66"/>
      <c r="E337" s="439" t="s">
        <v>252</v>
      </c>
      <c r="F337" s="440"/>
      <c r="G337" s="440"/>
      <c r="H337" s="440"/>
      <c r="I337" s="440"/>
      <c r="J337" s="441" t="s">
        <v>253</v>
      </c>
      <c r="K337" s="441"/>
      <c r="L337" s="8">
        <f>200*12</f>
        <v>2400</v>
      </c>
      <c r="M337" s="8"/>
      <c r="N337" s="8"/>
      <c r="O337" s="8"/>
      <c r="P337" s="52"/>
    </row>
    <row r="338" spans="1:16" ht="17.25" customHeight="1">
      <c r="A338" s="2"/>
      <c r="B338" s="7"/>
      <c r="C338" s="7"/>
      <c r="D338" s="66"/>
      <c r="E338" s="439" t="s">
        <v>254</v>
      </c>
      <c r="F338" s="440"/>
      <c r="G338" s="440"/>
      <c r="H338" s="440"/>
      <c r="I338" s="440"/>
      <c r="J338" s="441" t="s">
        <v>255</v>
      </c>
      <c r="K338" s="441"/>
      <c r="L338" s="8">
        <v>2700</v>
      </c>
      <c r="M338" s="8"/>
      <c r="N338" s="8"/>
      <c r="O338" s="8"/>
      <c r="P338" s="52"/>
    </row>
    <row r="339" spans="1:16" ht="17.25" customHeight="1">
      <c r="A339" s="2"/>
      <c r="B339" s="7"/>
      <c r="C339" s="7"/>
      <c r="D339" s="66"/>
      <c r="E339" s="439" t="s">
        <v>256</v>
      </c>
      <c r="F339" s="440"/>
      <c r="G339" s="440"/>
      <c r="H339" s="440"/>
      <c r="I339" s="440"/>
      <c r="J339" s="441" t="s">
        <v>257</v>
      </c>
      <c r="K339" s="441"/>
      <c r="L339" s="8">
        <v>5400</v>
      </c>
      <c r="M339" s="8"/>
      <c r="N339" s="8"/>
      <c r="O339" s="8"/>
      <c r="P339" s="52"/>
    </row>
    <row r="340" spans="1:16" ht="17.25" customHeight="1">
      <c r="A340" s="2"/>
      <c r="B340" s="7"/>
      <c r="C340" s="7"/>
      <c r="D340" s="66"/>
      <c r="E340" s="439" t="s">
        <v>258</v>
      </c>
      <c r="F340" s="440"/>
      <c r="G340" s="440"/>
      <c r="H340" s="440"/>
      <c r="I340" s="440"/>
      <c r="J340" s="441" t="s">
        <v>259</v>
      </c>
      <c r="K340" s="441"/>
      <c r="L340" s="8">
        <v>1200</v>
      </c>
      <c r="M340" s="8"/>
      <c r="N340" s="8"/>
      <c r="O340" s="8"/>
      <c r="P340" s="52"/>
    </row>
    <row r="341" spans="1:16" ht="17.25" customHeight="1">
      <c r="A341" s="2"/>
      <c r="B341" s="7"/>
      <c r="C341" s="7"/>
      <c r="D341" s="66"/>
      <c r="E341" s="439" t="s">
        <v>260</v>
      </c>
      <c r="F341" s="440"/>
      <c r="G341" s="440"/>
      <c r="H341" s="440"/>
      <c r="I341" s="440"/>
      <c r="J341" s="441" t="s">
        <v>261</v>
      </c>
      <c r="K341" s="441"/>
      <c r="L341" s="8">
        <v>2400</v>
      </c>
      <c r="M341" s="8"/>
      <c r="N341" s="8"/>
      <c r="O341" s="8"/>
      <c r="P341" s="52"/>
    </row>
    <row r="342" spans="1:16" ht="17.25" customHeight="1">
      <c r="A342" s="2"/>
      <c r="B342" s="7"/>
      <c r="C342" s="7"/>
      <c r="D342" s="66"/>
      <c r="E342" s="439" t="s">
        <v>262</v>
      </c>
      <c r="F342" s="440"/>
      <c r="G342" s="440"/>
      <c r="H342" s="440"/>
      <c r="I342" s="440"/>
      <c r="J342" s="441" t="s">
        <v>263</v>
      </c>
      <c r="K342" s="441"/>
      <c r="L342" s="8">
        <v>6000</v>
      </c>
      <c r="M342" s="8"/>
      <c r="N342" s="8"/>
      <c r="O342" s="8"/>
      <c r="P342" s="52"/>
    </row>
    <row r="343" spans="1:16" ht="17.25" customHeight="1">
      <c r="A343" s="2"/>
      <c r="B343" s="7"/>
      <c r="C343" s="7"/>
      <c r="D343" s="66"/>
      <c r="E343" s="439" t="s">
        <v>264</v>
      </c>
      <c r="F343" s="440"/>
      <c r="G343" s="440"/>
      <c r="H343" s="440"/>
      <c r="I343" s="440"/>
      <c r="J343" s="441" t="s">
        <v>265</v>
      </c>
      <c r="K343" s="441"/>
      <c r="L343" s="8">
        <v>3500</v>
      </c>
      <c r="M343" s="8"/>
      <c r="N343" s="8"/>
      <c r="O343" s="8"/>
      <c r="P343" s="52"/>
    </row>
    <row r="344" spans="1:16" ht="17.25" customHeight="1">
      <c r="A344" s="2"/>
      <c r="B344" s="7"/>
      <c r="C344" s="7"/>
      <c r="D344" s="69"/>
      <c r="E344" s="438" t="s">
        <v>266</v>
      </c>
      <c r="F344" s="438"/>
      <c r="G344" s="438"/>
      <c r="H344" s="438"/>
      <c r="I344" s="438"/>
      <c r="J344" s="438"/>
      <c r="K344" s="438"/>
      <c r="L344" s="448"/>
      <c r="M344" s="8"/>
      <c r="N344" s="8"/>
      <c r="O344" s="8"/>
      <c r="P344" s="52"/>
    </row>
    <row r="345" spans="1:16" ht="17.25" customHeight="1">
      <c r="A345" s="2"/>
      <c r="B345" s="7"/>
      <c r="C345" s="7"/>
      <c r="D345" s="66"/>
      <c r="E345" s="449" t="s">
        <v>267</v>
      </c>
      <c r="F345" s="416"/>
      <c r="G345" s="416"/>
      <c r="H345" s="416"/>
      <c r="I345" s="416"/>
      <c r="J345" s="416"/>
      <c r="K345" s="416"/>
      <c r="L345" s="8">
        <v>5200</v>
      </c>
      <c r="M345" s="24"/>
      <c r="N345" s="7"/>
      <c r="O345" s="7"/>
      <c r="P345" s="52"/>
    </row>
    <row r="346" spans="1:16" ht="17.25" customHeight="1">
      <c r="A346" s="2"/>
      <c r="B346" s="7"/>
      <c r="C346" s="7"/>
      <c r="D346" s="66"/>
      <c r="E346" s="439" t="s">
        <v>268</v>
      </c>
      <c r="F346" s="440"/>
      <c r="G346" s="440"/>
      <c r="H346" s="440"/>
      <c r="I346" s="440"/>
      <c r="J346" s="441" t="s">
        <v>269</v>
      </c>
      <c r="K346" s="441"/>
      <c r="L346" s="8">
        <v>800</v>
      </c>
      <c r="M346" s="24"/>
      <c r="N346" s="7"/>
      <c r="O346" s="7"/>
      <c r="P346" s="52"/>
    </row>
    <row r="347" spans="1:16" ht="17.25" customHeight="1">
      <c r="A347" s="2"/>
      <c r="B347" s="7"/>
      <c r="C347" s="7"/>
      <c r="D347" s="69"/>
      <c r="E347" s="437" t="s">
        <v>270</v>
      </c>
      <c r="F347" s="438"/>
      <c r="G347" s="438"/>
      <c r="H347" s="438"/>
      <c r="I347" s="438"/>
      <c r="J347" s="438"/>
      <c r="K347" s="438"/>
      <c r="L347" s="448"/>
      <c r="M347" s="8"/>
      <c r="N347" s="8"/>
      <c r="O347" s="8"/>
      <c r="P347" s="52"/>
    </row>
    <row r="348" spans="1:16" ht="17.25" customHeight="1">
      <c r="A348" s="2"/>
      <c r="B348" s="7"/>
      <c r="C348" s="7"/>
      <c r="D348" s="66"/>
      <c r="E348" s="449" t="s">
        <v>271</v>
      </c>
      <c r="F348" s="416"/>
      <c r="G348" s="416"/>
      <c r="H348" s="416"/>
      <c r="I348" s="416"/>
      <c r="J348" s="416"/>
      <c r="K348" s="416"/>
      <c r="L348" s="8">
        <v>1600</v>
      </c>
      <c r="M348" s="24"/>
      <c r="N348" s="7"/>
      <c r="O348" s="7"/>
      <c r="P348" s="52"/>
    </row>
    <row r="349" spans="1:16" ht="17.25" customHeight="1">
      <c r="A349" s="2"/>
      <c r="B349" s="7"/>
      <c r="C349" s="7"/>
      <c r="D349" s="66"/>
      <c r="E349" s="439" t="s">
        <v>272</v>
      </c>
      <c r="F349" s="440"/>
      <c r="G349" s="440"/>
      <c r="H349" s="440"/>
      <c r="I349" s="440"/>
      <c r="J349" s="441" t="s">
        <v>273</v>
      </c>
      <c r="K349" s="441"/>
      <c r="L349" s="8">
        <v>1000</v>
      </c>
      <c r="M349" s="8"/>
      <c r="N349" s="8"/>
      <c r="O349" s="8"/>
      <c r="P349" s="52"/>
    </row>
    <row r="350" spans="1:16" ht="17.25" customHeight="1">
      <c r="A350" s="2"/>
      <c r="B350" s="7"/>
      <c r="C350" s="7"/>
      <c r="D350" s="66"/>
      <c r="E350" s="439" t="s">
        <v>630</v>
      </c>
      <c r="F350" s="440"/>
      <c r="G350" s="440"/>
      <c r="H350" s="440"/>
      <c r="I350" s="440"/>
      <c r="J350" s="441" t="s">
        <v>274</v>
      </c>
      <c r="K350" s="441"/>
      <c r="L350" s="8">
        <v>2000</v>
      </c>
      <c r="M350" s="8"/>
      <c r="N350" s="8"/>
      <c r="O350" s="8"/>
      <c r="P350" s="52"/>
    </row>
    <row r="351" spans="1:16" ht="17.25" customHeight="1">
      <c r="A351" s="2"/>
      <c r="B351" s="7"/>
      <c r="C351" s="7"/>
      <c r="D351" s="66"/>
      <c r="E351" s="439" t="s">
        <v>275</v>
      </c>
      <c r="F351" s="440"/>
      <c r="G351" s="440"/>
      <c r="H351" s="440"/>
      <c r="I351" s="440"/>
      <c r="J351" s="441" t="s">
        <v>276</v>
      </c>
      <c r="K351" s="441"/>
      <c r="L351" s="8">
        <v>1200</v>
      </c>
      <c r="M351" s="8"/>
      <c r="N351" s="8"/>
      <c r="O351" s="8"/>
      <c r="P351" s="52"/>
    </row>
    <row r="352" spans="1:16" ht="17.25" customHeight="1">
      <c r="A352" s="2"/>
      <c r="B352" s="7"/>
      <c r="C352" s="7"/>
      <c r="D352" s="66"/>
      <c r="E352" s="439" t="s">
        <v>277</v>
      </c>
      <c r="F352" s="440"/>
      <c r="G352" s="440"/>
      <c r="H352" s="440"/>
      <c r="I352" s="440"/>
      <c r="J352" s="441" t="s">
        <v>278</v>
      </c>
      <c r="K352" s="441"/>
      <c r="L352" s="8">
        <v>3200</v>
      </c>
      <c r="M352" s="8"/>
      <c r="N352" s="8"/>
      <c r="O352" s="8"/>
      <c r="P352" s="52"/>
    </row>
    <row r="353" spans="1:16" ht="17.25" customHeight="1">
      <c r="A353" s="2"/>
      <c r="B353" s="7"/>
      <c r="C353" s="7"/>
      <c r="D353" s="66"/>
      <c r="E353" s="439" t="s">
        <v>279</v>
      </c>
      <c r="F353" s="440"/>
      <c r="G353" s="440"/>
      <c r="H353" s="440"/>
      <c r="I353" s="440"/>
      <c r="J353" s="441" t="s">
        <v>280</v>
      </c>
      <c r="K353" s="441"/>
      <c r="L353" s="8">
        <v>3500</v>
      </c>
      <c r="M353" s="8"/>
      <c r="N353" s="8"/>
      <c r="O353" s="8"/>
      <c r="P353" s="52"/>
    </row>
    <row r="354" spans="1:16" ht="17.25" customHeight="1">
      <c r="A354" s="3"/>
      <c r="B354" s="4" t="s">
        <v>8</v>
      </c>
      <c r="C354" s="4"/>
      <c r="D354" s="6"/>
      <c r="E354" s="435" t="s">
        <v>114</v>
      </c>
      <c r="F354" s="435"/>
      <c r="G354" s="435"/>
      <c r="H354" s="435"/>
      <c r="I354" s="435" t="s">
        <v>281</v>
      </c>
      <c r="J354" s="435"/>
      <c r="K354" s="435"/>
      <c r="L354" s="436"/>
      <c r="M354" s="5">
        <f>+SUM(L355:L363)</f>
        <v>64900</v>
      </c>
      <c r="N354" s="5">
        <v>48400</v>
      </c>
      <c r="O354" s="21">
        <f>+M354-N354</f>
        <v>16500</v>
      </c>
      <c r="P354" s="52"/>
    </row>
    <row r="355" spans="1:16" ht="17.25" customHeight="1">
      <c r="A355" s="2"/>
      <c r="B355" s="7"/>
      <c r="C355" s="7"/>
      <c r="D355" s="66"/>
      <c r="E355" s="439" t="s">
        <v>282</v>
      </c>
      <c r="F355" s="440"/>
      <c r="G355" s="440"/>
      <c r="H355" s="440"/>
      <c r="I355" s="440"/>
      <c r="J355" s="441" t="s">
        <v>283</v>
      </c>
      <c r="K355" s="441"/>
      <c r="L355" s="8">
        <v>1300</v>
      </c>
      <c r="M355" s="8"/>
      <c r="N355" s="8"/>
      <c r="O355" s="8"/>
      <c r="P355" s="52"/>
    </row>
    <row r="356" spans="1:16" ht="17.25" customHeight="1">
      <c r="A356" s="2"/>
      <c r="B356" s="7"/>
      <c r="C356" s="7"/>
      <c r="D356" s="66"/>
      <c r="E356" s="453" t="s">
        <v>838</v>
      </c>
      <c r="F356" s="454"/>
      <c r="G356" s="454"/>
      <c r="H356" s="454"/>
      <c r="I356" s="454"/>
      <c r="J356" s="455" t="s">
        <v>337</v>
      </c>
      <c r="K356" s="455"/>
      <c r="L356" s="14">
        <v>500</v>
      </c>
      <c r="M356" s="8"/>
      <c r="N356" s="8"/>
      <c r="O356" s="8"/>
      <c r="P356" s="52" t="s">
        <v>839</v>
      </c>
    </row>
    <row r="357" spans="1:16" ht="17.25" customHeight="1">
      <c r="A357" s="2"/>
      <c r="B357" s="7"/>
      <c r="C357" s="7"/>
      <c r="D357" s="66"/>
      <c r="E357" s="439" t="s">
        <v>284</v>
      </c>
      <c r="F357" s="440"/>
      <c r="G357" s="440"/>
      <c r="H357" s="440"/>
      <c r="I357" s="440"/>
      <c r="J357" s="441" t="s">
        <v>285</v>
      </c>
      <c r="K357" s="441"/>
      <c r="L357" s="8">
        <v>3000</v>
      </c>
      <c r="M357" s="8"/>
      <c r="N357" s="8"/>
      <c r="O357" s="8"/>
      <c r="P357" s="52"/>
    </row>
    <row r="358" spans="1:16" ht="17.25" customHeight="1">
      <c r="A358" s="2"/>
      <c r="B358" s="7"/>
      <c r="C358" s="7"/>
      <c r="D358" s="66"/>
      <c r="E358" s="439" t="s">
        <v>286</v>
      </c>
      <c r="F358" s="440"/>
      <c r="G358" s="440"/>
      <c r="H358" s="440"/>
      <c r="I358" s="440"/>
      <c r="J358" s="441" t="s">
        <v>214</v>
      </c>
      <c r="K358" s="441"/>
      <c r="L358" s="8">
        <v>1500</v>
      </c>
      <c r="M358" s="8"/>
      <c r="N358" s="8"/>
      <c r="O358" s="8"/>
      <c r="P358" s="52"/>
    </row>
    <row r="359" spans="1:16" ht="17.25" customHeight="1">
      <c r="A359" s="2"/>
      <c r="B359" s="7"/>
      <c r="C359" s="7"/>
      <c r="D359" s="66"/>
      <c r="E359" s="450" t="s">
        <v>840</v>
      </c>
      <c r="F359" s="451"/>
      <c r="G359" s="451"/>
      <c r="H359" s="451"/>
      <c r="I359" s="451"/>
      <c r="J359" s="452" t="s">
        <v>841</v>
      </c>
      <c r="K359" s="452"/>
      <c r="L359" s="75">
        <v>3000</v>
      </c>
      <c r="M359" s="8"/>
      <c r="N359" s="8"/>
      <c r="O359" s="8"/>
      <c r="P359" s="52" t="s">
        <v>842</v>
      </c>
    </row>
    <row r="360" spans="1:16" ht="17.25" customHeight="1">
      <c r="A360" s="2"/>
      <c r="B360" s="7"/>
      <c r="C360" s="7"/>
      <c r="D360" s="66"/>
      <c r="E360" s="439" t="s">
        <v>287</v>
      </c>
      <c r="F360" s="440"/>
      <c r="G360" s="440"/>
      <c r="H360" s="440"/>
      <c r="I360" s="440"/>
      <c r="J360" s="441" t="s">
        <v>288</v>
      </c>
      <c r="K360" s="441"/>
      <c r="L360" s="8">
        <v>30000</v>
      </c>
      <c r="M360" s="8"/>
      <c r="N360" s="8"/>
      <c r="O360" s="8"/>
      <c r="P360" s="52"/>
    </row>
    <row r="361" spans="1:16" ht="17.25" customHeight="1">
      <c r="A361" s="2"/>
      <c r="B361" s="7"/>
      <c r="C361" s="7"/>
      <c r="D361" s="66"/>
      <c r="E361" s="439" t="s">
        <v>289</v>
      </c>
      <c r="F361" s="440"/>
      <c r="G361" s="440"/>
      <c r="H361" s="440"/>
      <c r="I361" s="440"/>
      <c r="J361" s="441" t="s">
        <v>290</v>
      </c>
      <c r="K361" s="441"/>
      <c r="L361" s="8">
        <v>20000</v>
      </c>
      <c r="M361" s="8"/>
      <c r="N361" s="8"/>
      <c r="O361" s="8"/>
      <c r="P361" s="52"/>
    </row>
    <row r="362" spans="1:16" ht="17.25" customHeight="1">
      <c r="A362" s="2"/>
      <c r="B362" s="7"/>
      <c r="C362" s="7"/>
      <c r="D362" s="66"/>
      <c r="E362" s="439" t="s">
        <v>291</v>
      </c>
      <c r="F362" s="440"/>
      <c r="G362" s="440"/>
      <c r="H362" s="440"/>
      <c r="I362" s="440"/>
      <c r="J362" s="441" t="s">
        <v>622</v>
      </c>
      <c r="K362" s="441"/>
      <c r="L362" s="8">
        <v>2800</v>
      </c>
      <c r="M362" s="8"/>
      <c r="N362" s="8"/>
      <c r="O362" s="8"/>
      <c r="P362" s="52"/>
    </row>
    <row r="363" spans="1:16" ht="17.25" customHeight="1">
      <c r="A363" s="2"/>
      <c r="B363" s="7"/>
      <c r="C363" s="7"/>
      <c r="D363" s="66"/>
      <c r="E363" s="439" t="s">
        <v>292</v>
      </c>
      <c r="F363" s="440"/>
      <c r="G363" s="440"/>
      <c r="H363" s="440"/>
      <c r="I363" s="440"/>
      <c r="J363" s="441" t="s">
        <v>293</v>
      </c>
      <c r="K363" s="441"/>
      <c r="L363" s="8">
        <v>2800</v>
      </c>
      <c r="M363" s="8"/>
      <c r="N363" s="8"/>
      <c r="O363" s="8"/>
      <c r="P363" s="52"/>
    </row>
    <row r="364" spans="1:16" ht="17.25" customHeight="1">
      <c r="A364" s="3"/>
      <c r="B364" s="4" t="s">
        <v>8</v>
      </c>
      <c r="C364" s="4"/>
      <c r="D364" s="6"/>
      <c r="E364" s="435" t="s">
        <v>294</v>
      </c>
      <c r="F364" s="435"/>
      <c r="G364" s="435"/>
      <c r="H364" s="435"/>
      <c r="I364" s="435" t="s">
        <v>295</v>
      </c>
      <c r="J364" s="435"/>
      <c r="K364" s="435"/>
      <c r="L364" s="436"/>
      <c r="M364" s="5">
        <f>SUM(L365:L393)+SUM(L396:L400)</f>
        <v>359930</v>
      </c>
      <c r="N364" s="5">
        <v>387000</v>
      </c>
      <c r="O364" s="21">
        <f>+M364-N364</f>
        <v>-27070</v>
      </c>
      <c r="P364" s="52"/>
    </row>
    <row r="365" spans="1:16" ht="17.25" customHeight="1">
      <c r="A365" s="2"/>
      <c r="B365" s="7"/>
      <c r="C365" s="7"/>
      <c r="D365" s="66"/>
      <c r="E365" s="439" t="s">
        <v>296</v>
      </c>
      <c r="F365" s="440"/>
      <c r="G365" s="440"/>
      <c r="H365" s="440"/>
      <c r="I365" s="440"/>
      <c r="J365" s="441" t="s">
        <v>297</v>
      </c>
      <c r="K365" s="441"/>
      <c r="L365" s="8">
        <v>12000</v>
      </c>
      <c r="M365" s="8"/>
      <c r="N365" s="8"/>
      <c r="O365" s="8"/>
      <c r="P365" s="52"/>
    </row>
    <row r="366" spans="1:16" ht="17.25" customHeight="1">
      <c r="A366" s="2"/>
      <c r="B366" s="7"/>
      <c r="C366" s="7"/>
      <c r="D366" s="66"/>
      <c r="E366" s="439" t="s">
        <v>298</v>
      </c>
      <c r="F366" s="440"/>
      <c r="G366" s="440"/>
      <c r="H366" s="440"/>
      <c r="I366" s="440"/>
      <c r="J366" s="441" t="s">
        <v>299</v>
      </c>
      <c r="K366" s="441"/>
      <c r="L366" s="8">
        <v>20000</v>
      </c>
      <c r="M366" s="8"/>
      <c r="N366" s="8"/>
      <c r="O366" s="8"/>
      <c r="P366" s="52"/>
    </row>
    <row r="367" spans="1:16" ht="17.25" customHeight="1">
      <c r="A367" s="2"/>
      <c r="B367" s="7"/>
      <c r="C367" s="7"/>
      <c r="D367" s="66"/>
      <c r="E367" s="439" t="s">
        <v>300</v>
      </c>
      <c r="F367" s="440"/>
      <c r="G367" s="440"/>
      <c r="H367" s="440"/>
      <c r="I367" s="440"/>
      <c r="J367" s="441" t="s">
        <v>301</v>
      </c>
      <c r="K367" s="441"/>
      <c r="L367" s="8">
        <v>5060</v>
      </c>
      <c r="M367" s="8"/>
      <c r="N367" s="8"/>
      <c r="O367" s="8"/>
      <c r="P367" s="52"/>
    </row>
    <row r="368" spans="1:16" ht="17.25" customHeight="1">
      <c r="A368" s="2"/>
      <c r="B368" s="7"/>
      <c r="C368" s="7"/>
      <c r="D368" s="66"/>
      <c r="E368" s="439" t="s">
        <v>302</v>
      </c>
      <c r="F368" s="440"/>
      <c r="G368" s="440"/>
      <c r="H368" s="440"/>
      <c r="I368" s="440"/>
      <c r="J368" s="441" t="s">
        <v>607</v>
      </c>
      <c r="K368" s="441"/>
      <c r="L368" s="8">
        <v>6000</v>
      </c>
      <c r="M368" s="8"/>
      <c r="N368" s="8"/>
      <c r="O368" s="8"/>
      <c r="P368" s="52"/>
    </row>
    <row r="369" spans="1:17" s="25" customFormat="1" ht="17.25" customHeight="1">
      <c r="A369" s="17"/>
      <c r="B369" s="18"/>
      <c r="C369" s="18"/>
      <c r="D369" s="68"/>
      <c r="E369" s="445" t="s">
        <v>303</v>
      </c>
      <c r="F369" s="446"/>
      <c r="G369" s="446"/>
      <c r="H369" s="446"/>
      <c r="I369" s="446"/>
      <c r="J369" s="447" t="s">
        <v>304</v>
      </c>
      <c r="K369" s="447"/>
      <c r="L369" s="19">
        <v>5800</v>
      </c>
      <c r="M369" s="19"/>
      <c r="N369" s="19"/>
      <c r="O369" s="19"/>
      <c r="P369" s="33" t="s">
        <v>826</v>
      </c>
      <c r="Q369" s="33" t="s">
        <v>827</v>
      </c>
    </row>
    <row r="370" spans="1:17" ht="17.25" customHeight="1">
      <c r="A370" s="2"/>
      <c r="B370" s="7"/>
      <c r="C370" s="7"/>
      <c r="D370" s="66"/>
      <c r="E370" s="439" t="s">
        <v>305</v>
      </c>
      <c r="F370" s="440"/>
      <c r="G370" s="440"/>
      <c r="H370" s="440"/>
      <c r="I370" s="440"/>
      <c r="J370" s="441" t="s">
        <v>306</v>
      </c>
      <c r="K370" s="441"/>
      <c r="L370" s="8">
        <v>4000</v>
      </c>
      <c r="M370" s="8"/>
      <c r="N370" s="8"/>
      <c r="O370" s="8"/>
      <c r="P370" s="52"/>
    </row>
    <row r="371" spans="1:17" s="25" customFormat="1" ht="17.25" customHeight="1">
      <c r="A371" s="17"/>
      <c r="B371" s="18"/>
      <c r="C371" s="18"/>
      <c r="D371" s="68"/>
      <c r="E371" s="445" t="s">
        <v>307</v>
      </c>
      <c r="F371" s="446"/>
      <c r="G371" s="446"/>
      <c r="H371" s="446"/>
      <c r="I371" s="446"/>
      <c r="J371" s="447" t="s">
        <v>308</v>
      </c>
      <c r="K371" s="447"/>
      <c r="L371" s="19">
        <v>30000</v>
      </c>
      <c r="M371" s="19"/>
      <c r="N371" s="19"/>
      <c r="O371" s="19"/>
      <c r="P371" s="33" t="s">
        <v>826</v>
      </c>
      <c r="Q371" s="33" t="s">
        <v>831</v>
      </c>
    </row>
    <row r="372" spans="1:17" s="25" customFormat="1" ht="17.25" customHeight="1">
      <c r="A372" s="17"/>
      <c r="B372" s="18"/>
      <c r="C372" s="18"/>
      <c r="D372" s="68"/>
      <c r="E372" s="445" t="s">
        <v>309</v>
      </c>
      <c r="F372" s="446"/>
      <c r="G372" s="446"/>
      <c r="H372" s="446"/>
      <c r="I372" s="446"/>
      <c r="J372" s="447" t="s">
        <v>310</v>
      </c>
      <c r="K372" s="447"/>
      <c r="L372" s="19">
        <v>10000</v>
      </c>
      <c r="M372" s="19"/>
      <c r="N372" s="19"/>
      <c r="O372" s="19"/>
      <c r="P372" s="80"/>
      <c r="Q372" s="33" t="s">
        <v>830</v>
      </c>
    </row>
    <row r="373" spans="1:17" ht="17.25" customHeight="1">
      <c r="A373" s="2"/>
      <c r="B373" s="7"/>
      <c r="C373" s="7"/>
      <c r="D373" s="66"/>
      <c r="E373" s="439" t="s">
        <v>311</v>
      </c>
      <c r="F373" s="440"/>
      <c r="G373" s="440"/>
      <c r="H373" s="440"/>
      <c r="I373" s="440"/>
      <c r="J373" s="441" t="s">
        <v>312</v>
      </c>
      <c r="K373" s="441"/>
      <c r="L373" s="8">
        <v>550</v>
      </c>
      <c r="M373" s="8"/>
      <c r="N373" s="8"/>
      <c r="O373" s="8"/>
      <c r="P373" s="52"/>
    </row>
    <row r="374" spans="1:17" ht="17.25" customHeight="1">
      <c r="A374" s="2"/>
      <c r="B374" s="7"/>
      <c r="C374" s="7"/>
      <c r="D374" s="66"/>
      <c r="E374" s="439" t="s">
        <v>313</v>
      </c>
      <c r="F374" s="440"/>
      <c r="G374" s="440"/>
      <c r="H374" s="440"/>
      <c r="I374" s="440"/>
      <c r="J374" s="441" t="s">
        <v>314</v>
      </c>
      <c r="K374" s="441"/>
      <c r="L374" s="8">
        <v>300</v>
      </c>
      <c r="M374" s="8"/>
      <c r="N374" s="8"/>
      <c r="O374" s="8"/>
      <c r="P374" s="52"/>
    </row>
    <row r="375" spans="1:17" ht="17.25" customHeight="1">
      <c r="A375" s="2"/>
      <c r="B375" s="7"/>
      <c r="C375" s="7"/>
      <c r="D375" s="66"/>
      <c r="E375" s="439" t="s">
        <v>315</v>
      </c>
      <c r="F375" s="440"/>
      <c r="G375" s="440"/>
      <c r="H375" s="440"/>
      <c r="I375" s="440"/>
      <c r="J375" s="441" t="s">
        <v>316</v>
      </c>
      <c r="K375" s="441"/>
      <c r="L375" s="8">
        <v>1500</v>
      </c>
      <c r="M375" s="8"/>
      <c r="N375" s="8"/>
      <c r="O375" s="8"/>
      <c r="P375" s="52"/>
    </row>
    <row r="376" spans="1:17" ht="17.25" customHeight="1">
      <c r="A376" s="2"/>
      <c r="B376" s="7"/>
      <c r="C376" s="7"/>
      <c r="D376" s="66"/>
      <c r="E376" s="439" t="s">
        <v>317</v>
      </c>
      <c r="F376" s="440"/>
      <c r="G376" s="440"/>
      <c r="H376" s="440"/>
      <c r="I376" s="440"/>
      <c r="J376" s="441" t="s">
        <v>318</v>
      </c>
      <c r="K376" s="441"/>
      <c r="L376" s="8">
        <v>1000</v>
      </c>
      <c r="M376" s="8"/>
      <c r="N376" s="8"/>
      <c r="O376" s="8"/>
      <c r="P376" s="52"/>
    </row>
    <row r="377" spans="1:17" ht="17.25" customHeight="1">
      <c r="A377" s="2"/>
      <c r="B377" s="7"/>
      <c r="C377" s="7"/>
      <c r="D377" s="66"/>
      <c r="E377" s="439" t="s">
        <v>319</v>
      </c>
      <c r="F377" s="440"/>
      <c r="G377" s="440"/>
      <c r="H377" s="440"/>
      <c r="I377" s="440"/>
      <c r="J377" s="441" t="s">
        <v>320</v>
      </c>
      <c r="K377" s="441"/>
      <c r="L377" s="8">
        <v>500</v>
      </c>
      <c r="M377" s="8"/>
      <c r="N377" s="8"/>
      <c r="O377" s="8"/>
      <c r="P377" s="52"/>
    </row>
    <row r="378" spans="1:17" ht="17.25" customHeight="1">
      <c r="A378" s="2"/>
      <c r="B378" s="7"/>
      <c r="C378" s="7"/>
      <c r="D378" s="66"/>
      <c r="E378" s="439" t="s">
        <v>321</v>
      </c>
      <c r="F378" s="440"/>
      <c r="G378" s="440"/>
      <c r="H378" s="440"/>
      <c r="I378" s="440"/>
      <c r="J378" s="441"/>
      <c r="K378" s="441"/>
      <c r="L378" s="8"/>
      <c r="M378" s="8"/>
      <c r="N378" s="8"/>
      <c r="O378" s="8"/>
      <c r="P378" s="52"/>
    </row>
    <row r="379" spans="1:17" ht="17.25" customHeight="1">
      <c r="A379" s="2"/>
      <c r="B379" s="7"/>
      <c r="C379" s="7"/>
      <c r="D379" s="66"/>
      <c r="E379" s="439" t="s">
        <v>322</v>
      </c>
      <c r="F379" s="440"/>
      <c r="G379" s="440"/>
      <c r="H379" s="440"/>
      <c r="I379" s="440"/>
      <c r="J379" s="441" t="s">
        <v>323</v>
      </c>
      <c r="K379" s="441"/>
      <c r="L379" s="8">
        <v>120</v>
      </c>
      <c r="M379" s="8"/>
      <c r="N379" s="8"/>
      <c r="O379" s="8"/>
      <c r="P379" s="52"/>
    </row>
    <row r="380" spans="1:17" ht="17.25" customHeight="1">
      <c r="A380" s="2"/>
      <c r="B380" s="7"/>
      <c r="C380" s="7"/>
      <c r="D380" s="66"/>
      <c r="E380" s="439" t="s">
        <v>324</v>
      </c>
      <c r="F380" s="440"/>
      <c r="G380" s="440"/>
      <c r="H380" s="440"/>
      <c r="I380" s="440"/>
      <c r="J380" s="441" t="s">
        <v>325</v>
      </c>
      <c r="K380" s="441"/>
      <c r="L380" s="8">
        <f>300*6</f>
        <v>1800</v>
      </c>
      <c r="M380" s="8"/>
      <c r="N380" s="8"/>
      <c r="O380" s="8"/>
      <c r="P380" s="52"/>
    </row>
    <row r="381" spans="1:17" s="25" customFormat="1" ht="17.25" customHeight="1">
      <c r="A381" s="17"/>
      <c r="B381" s="18"/>
      <c r="C381" s="18"/>
      <c r="D381" s="68"/>
      <c r="E381" s="445" t="s">
        <v>326</v>
      </c>
      <c r="F381" s="446"/>
      <c r="G381" s="446"/>
      <c r="H381" s="446"/>
      <c r="I381" s="446"/>
      <c r="J381" s="447" t="s">
        <v>836</v>
      </c>
      <c r="K381" s="447"/>
      <c r="L381" s="19">
        <v>40000</v>
      </c>
      <c r="M381" s="19"/>
      <c r="N381" s="19"/>
      <c r="O381" s="19"/>
      <c r="P381" s="33" t="s">
        <v>826</v>
      </c>
      <c r="Q381" s="33" t="s">
        <v>832</v>
      </c>
    </row>
    <row r="382" spans="1:17" ht="17.25" customHeight="1">
      <c r="A382" s="2"/>
      <c r="B382" s="7"/>
      <c r="C382" s="7"/>
      <c r="D382" s="66"/>
      <c r="E382" s="439" t="s">
        <v>614</v>
      </c>
      <c r="F382" s="440"/>
      <c r="G382" s="440"/>
      <c r="H382" s="440"/>
      <c r="I382" s="440"/>
      <c r="J382" s="441" t="s">
        <v>445</v>
      </c>
      <c r="K382" s="441"/>
      <c r="L382" s="8">
        <v>1800</v>
      </c>
      <c r="M382" s="8"/>
      <c r="N382" s="8"/>
      <c r="O382" s="8"/>
      <c r="P382" s="52"/>
    </row>
    <row r="383" spans="1:17" ht="18" customHeight="1">
      <c r="A383" s="2"/>
      <c r="B383" s="7"/>
      <c r="C383" s="7"/>
      <c r="D383" s="66"/>
      <c r="E383" s="439" t="s">
        <v>327</v>
      </c>
      <c r="F383" s="440"/>
      <c r="G383" s="440"/>
      <c r="H383" s="440"/>
      <c r="I383" s="440"/>
      <c r="J383" s="441" t="s">
        <v>328</v>
      </c>
      <c r="K383" s="441"/>
      <c r="L383" s="8">
        <v>10000</v>
      </c>
      <c r="M383" s="8"/>
      <c r="N383" s="8"/>
      <c r="O383" s="8"/>
    </row>
    <row r="384" spans="1:17" ht="17.25" customHeight="1">
      <c r="A384" s="2"/>
      <c r="B384" s="7"/>
      <c r="C384" s="7"/>
      <c r="D384" s="66"/>
      <c r="E384" s="439" t="s">
        <v>329</v>
      </c>
      <c r="F384" s="440"/>
      <c r="G384" s="440"/>
      <c r="H384" s="440"/>
      <c r="I384" s="440"/>
      <c r="J384" s="441" t="s">
        <v>330</v>
      </c>
      <c r="K384" s="441"/>
      <c r="L384" s="8">
        <v>3960</v>
      </c>
      <c r="M384" s="8"/>
      <c r="N384" s="8"/>
      <c r="O384" s="8"/>
      <c r="P384" s="52"/>
    </row>
    <row r="385" spans="1:17" ht="17.25" customHeight="1">
      <c r="A385" s="2"/>
      <c r="B385" s="7"/>
      <c r="C385" s="7"/>
      <c r="D385" s="66"/>
      <c r="E385" s="439" t="s">
        <v>331</v>
      </c>
      <c r="F385" s="440"/>
      <c r="G385" s="440"/>
      <c r="H385" s="440"/>
      <c r="I385" s="440"/>
      <c r="J385" s="441" t="s">
        <v>330</v>
      </c>
      <c r="K385" s="441"/>
      <c r="L385" s="8">
        <v>3960</v>
      </c>
      <c r="M385" s="8"/>
      <c r="N385" s="8"/>
      <c r="O385" s="8"/>
      <c r="P385" s="52"/>
    </row>
    <row r="386" spans="1:17" s="55" customFormat="1" ht="17.25" customHeight="1">
      <c r="A386" s="53"/>
      <c r="B386" s="54"/>
      <c r="C386" s="54"/>
      <c r="D386" s="67"/>
      <c r="E386" s="442" t="s">
        <v>332</v>
      </c>
      <c r="F386" s="443"/>
      <c r="G386" s="443"/>
      <c r="H386" s="443"/>
      <c r="I386" s="443"/>
      <c r="J386" s="444" t="s">
        <v>333</v>
      </c>
      <c r="K386" s="444"/>
      <c r="L386" s="13">
        <v>2000</v>
      </c>
      <c r="M386" s="13"/>
      <c r="N386" s="13"/>
      <c r="O386" s="13"/>
      <c r="P386" s="79" t="s">
        <v>826</v>
      </c>
      <c r="Q386" s="78" t="s">
        <v>834</v>
      </c>
    </row>
    <row r="387" spans="1:17" ht="17.25" customHeight="1">
      <c r="A387" s="2"/>
      <c r="B387" s="7"/>
      <c r="C387" s="7"/>
      <c r="D387" s="66"/>
      <c r="E387" s="439" t="s">
        <v>334</v>
      </c>
      <c r="F387" s="440"/>
      <c r="G387" s="440"/>
      <c r="H387" s="440"/>
      <c r="I387" s="440"/>
      <c r="J387" s="441" t="s">
        <v>335</v>
      </c>
      <c r="K387" s="441"/>
      <c r="L387" s="8">
        <v>9000</v>
      </c>
      <c r="M387" s="8"/>
      <c r="N387" s="8"/>
      <c r="O387" s="8"/>
      <c r="P387" s="52"/>
    </row>
    <row r="388" spans="1:17" ht="17.25" customHeight="1">
      <c r="A388" s="2"/>
      <c r="B388" s="7"/>
      <c r="C388" s="7"/>
      <c r="D388" s="66"/>
      <c r="E388" s="439" t="s">
        <v>336</v>
      </c>
      <c r="F388" s="440"/>
      <c r="G388" s="440"/>
      <c r="H388" s="440"/>
      <c r="I388" s="440"/>
      <c r="J388" s="441" t="s">
        <v>337</v>
      </c>
      <c r="K388" s="441"/>
      <c r="L388" s="8">
        <v>500</v>
      </c>
      <c r="M388" s="8"/>
      <c r="N388" s="8"/>
      <c r="O388" s="8"/>
      <c r="P388" s="52"/>
    </row>
    <row r="389" spans="1:17" ht="17.25" customHeight="1">
      <c r="A389" s="2"/>
      <c r="B389" s="7"/>
      <c r="C389" s="7"/>
      <c r="D389" s="66"/>
      <c r="E389" s="439" t="s">
        <v>338</v>
      </c>
      <c r="F389" s="440"/>
      <c r="G389" s="440"/>
      <c r="H389" s="440"/>
      <c r="I389" s="440"/>
      <c r="J389" s="441" t="s">
        <v>337</v>
      </c>
      <c r="K389" s="441"/>
      <c r="L389" s="8">
        <v>500</v>
      </c>
      <c r="M389" s="8"/>
      <c r="N389" s="8"/>
      <c r="O389" s="8"/>
      <c r="P389" s="52"/>
    </row>
    <row r="390" spans="1:17" ht="17.25" customHeight="1">
      <c r="A390" s="2"/>
      <c r="B390" s="7"/>
      <c r="C390" s="7"/>
      <c r="D390" s="66"/>
      <c r="E390" s="439" t="s">
        <v>339</v>
      </c>
      <c r="F390" s="440"/>
      <c r="G390" s="440"/>
      <c r="H390" s="440"/>
      <c r="I390" s="440"/>
      <c r="J390" s="441" t="s">
        <v>340</v>
      </c>
      <c r="K390" s="441"/>
      <c r="L390" s="8">
        <v>6600</v>
      </c>
      <c r="M390" s="8"/>
      <c r="N390" s="8"/>
      <c r="O390" s="8"/>
      <c r="P390" s="52"/>
    </row>
    <row r="391" spans="1:17" ht="17.25" customHeight="1">
      <c r="A391" s="2"/>
      <c r="B391" s="7"/>
      <c r="C391" s="7"/>
      <c r="D391" s="66"/>
      <c r="E391" s="437" t="s">
        <v>341</v>
      </c>
      <c r="F391" s="438"/>
      <c r="G391" s="438"/>
      <c r="H391" s="438"/>
      <c r="I391" s="438"/>
      <c r="J391" s="438" t="s">
        <v>342</v>
      </c>
      <c r="K391" s="70"/>
      <c r="L391" s="8">
        <v>500</v>
      </c>
      <c r="M391" s="8"/>
      <c r="N391" s="8"/>
      <c r="O391" s="8"/>
      <c r="P391" s="52"/>
    </row>
    <row r="392" spans="1:17" ht="17.25" customHeight="1">
      <c r="A392" s="2"/>
      <c r="B392" s="7"/>
      <c r="C392" s="7"/>
      <c r="D392" s="66"/>
      <c r="E392" s="439" t="s">
        <v>343</v>
      </c>
      <c r="F392" s="440"/>
      <c r="G392" s="440"/>
      <c r="H392" s="440"/>
      <c r="I392" s="440"/>
      <c r="J392" s="441" t="s">
        <v>344</v>
      </c>
      <c r="K392" s="441"/>
      <c r="L392" s="8">
        <v>144000</v>
      </c>
      <c r="M392" s="8"/>
      <c r="N392" s="8"/>
      <c r="O392" s="8"/>
      <c r="P392" s="52"/>
    </row>
    <row r="393" spans="1:17" ht="17.25" customHeight="1">
      <c r="A393" s="2"/>
      <c r="B393" s="7"/>
      <c r="C393" s="7"/>
      <c r="D393" s="66"/>
      <c r="E393" s="437" t="s">
        <v>345</v>
      </c>
      <c r="F393" s="438"/>
      <c r="G393" s="438"/>
      <c r="H393" s="438"/>
      <c r="I393" s="438"/>
      <c r="J393" s="438"/>
      <c r="K393" s="70"/>
      <c r="L393" s="8">
        <f>SUM(L394:L395)</f>
        <v>26000</v>
      </c>
      <c r="M393" s="8"/>
      <c r="N393" s="8"/>
      <c r="O393" s="8"/>
      <c r="P393" s="52"/>
    </row>
    <row r="394" spans="1:17" ht="17.25" customHeight="1">
      <c r="A394" s="2"/>
      <c r="B394" s="7"/>
      <c r="C394" s="7"/>
      <c r="D394" s="66"/>
      <c r="E394" s="439" t="s">
        <v>346</v>
      </c>
      <c r="F394" s="440"/>
      <c r="G394" s="440"/>
      <c r="H394" s="440"/>
      <c r="I394" s="440"/>
      <c r="J394" s="441" t="s">
        <v>347</v>
      </c>
      <c r="K394" s="441"/>
      <c r="L394" s="8">
        <v>13000</v>
      </c>
      <c r="M394" s="8"/>
      <c r="N394" s="8"/>
      <c r="O394" s="8"/>
      <c r="P394" s="52"/>
    </row>
    <row r="395" spans="1:17" ht="17.25" customHeight="1">
      <c r="A395" s="2"/>
      <c r="B395" s="7"/>
      <c r="C395" s="7"/>
      <c r="D395" s="66"/>
      <c r="E395" s="439" t="s">
        <v>348</v>
      </c>
      <c r="F395" s="440"/>
      <c r="G395" s="440"/>
      <c r="H395" s="440"/>
      <c r="I395" s="440"/>
      <c r="J395" s="441" t="s">
        <v>347</v>
      </c>
      <c r="K395" s="441"/>
      <c r="L395" s="8">
        <v>13000</v>
      </c>
      <c r="M395" s="8"/>
      <c r="N395" s="8"/>
      <c r="O395" s="8"/>
      <c r="P395" s="52"/>
    </row>
    <row r="396" spans="1:17" ht="17.25" customHeight="1">
      <c r="A396" s="2"/>
      <c r="B396" s="7"/>
      <c r="C396" s="7"/>
      <c r="D396" s="66"/>
      <c r="E396" s="439" t="s">
        <v>349</v>
      </c>
      <c r="F396" s="440"/>
      <c r="G396" s="440"/>
      <c r="H396" s="440"/>
      <c r="I396" s="440"/>
      <c r="J396" s="441" t="s">
        <v>350</v>
      </c>
      <c r="K396" s="441"/>
      <c r="L396" s="8">
        <v>480</v>
      </c>
      <c r="M396" s="8"/>
      <c r="N396" s="8"/>
      <c r="O396" s="8"/>
      <c r="P396" s="52"/>
    </row>
    <row r="397" spans="1:17" ht="17.25" customHeight="1">
      <c r="A397" s="2"/>
      <c r="B397" s="7"/>
      <c r="C397" s="7"/>
      <c r="D397" s="66"/>
      <c r="E397" s="439" t="s">
        <v>351</v>
      </c>
      <c r="F397" s="440"/>
      <c r="G397" s="440"/>
      <c r="H397" s="440"/>
      <c r="I397" s="440"/>
      <c r="J397" s="441" t="s">
        <v>352</v>
      </c>
      <c r="K397" s="441"/>
      <c r="L397" s="8">
        <v>2000</v>
      </c>
      <c r="M397" s="8"/>
      <c r="N397" s="8"/>
      <c r="O397" s="8"/>
      <c r="P397" s="52"/>
    </row>
    <row r="398" spans="1:17" ht="17.25" customHeight="1">
      <c r="A398" s="2"/>
      <c r="B398" s="7"/>
      <c r="C398" s="7"/>
      <c r="D398" s="66"/>
      <c r="E398" s="439" t="s">
        <v>353</v>
      </c>
      <c r="F398" s="440"/>
      <c r="G398" s="440"/>
      <c r="H398" s="440"/>
      <c r="I398" s="440"/>
      <c r="J398" s="441"/>
      <c r="K398" s="441"/>
      <c r="L398" s="8"/>
      <c r="M398" s="8"/>
      <c r="N398" s="8"/>
      <c r="O398" s="8"/>
      <c r="P398" s="52"/>
    </row>
    <row r="399" spans="1:17" s="55" customFormat="1" ht="17.25" customHeight="1">
      <c r="A399" s="53"/>
      <c r="B399" s="54"/>
      <c r="C399" s="54"/>
      <c r="D399" s="67"/>
      <c r="E399" s="442" t="s">
        <v>354</v>
      </c>
      <c r="F399" s="443"/>
      <c r="G399" s="443"/>
      <c r="H399" s="443"/>
      <c r="I399" s="443"/>
      <c r="J399" s="444" t="s">
        <v>355</v>
      </c>
      <c r="K399" s="444"/>
      <c r="L399" s="13">
        <v>10000</v>
      </c>
      <c r="M399" s="13"/>
      <c r="N399" s="13"/>
      <c r="O399" s="13"/>
      <c r="P399" s="79" t="s">
        <v>826</v>
      </c>
      <c r="Q399" s="78" t="s">
        <v>834</v>
      </c>
    </row>
    <row r="400" spans="1:17" ht="9" customHeight="1">
      <c r="A400" s="2"/>
      <c r="B400" s="7"/>
      <c r="C400" s="7"/>
      <c r="D400" s="66"/>
      <c r="E400" s="439"/>
      <c r="F400" s="440"/>
      <c r="G400" s="440"/>
      <c r="H400" s="440"/>
      <c r="I400" s="440"/>
      <c r="J400" s="441"/>
      <c r="K400" s="441"/>
      <c r="L400" s="8"/>
      <c r="M400" s="8"/>
      <c r="N400" s="8"/>
      <c r="O400" s="8"/>
      <c r="P400" s="52"/>
    </row>
    <row r="401" spans="1:17" ht="17.25" customHeight="1">
      <c r="A401" s="3"/>
      <c r="B401" s="4" t="s">
        <v>8</v>
      </c>
      <c r="C401" s="4"/>
      <c r="D401" s="6"/>
      <c r="E401" s="435" t="s">
        <v>356</v>
      </c>
      <c r="F401" s="435"/>
      <c r="G401" s="435"/>
      <c r="H401" s="435"/>
      <c r="I401" s="435" t="s">
        <v>357</v>
      </c>
      <c r="J401" s="435"/>
      <c r="K401" s="435"/>
      <c r="L401" s="436"/>
      <c r="M401" s="5">
        <f>+L402+L403+L404+L407+L413+L414+L415+L416+L417</f>
        <v>116786</v>
      </c>
      <c r="N401" s="5">
        <v>94108</v>
      </c>
      <c r="O401" s="21">
        <f>+M401-N401</f>
        <v>22678</v>
      </c>
      <c r="P401" s="52"/>
    </row>
    <row r="402" spans="1:17" ht="17.25" customHeight="1">
      <c r="A402" s="2"/>
      <c r="B402" s="7"/>
      <c r="C402" s="7"/>
      <c r="D402" s="66"/>
      <c r="E402" s="439" t="s">
        <v>358</v>
      </c>
      <c r="F402" s="440"/>
      <c r="G402" s="440"/>
      <c r="H402" s="440"/>
      <c r="I402" s="440"/>
      <c r="J402" s="441" t="s">
        <v>359</v>
      </c>
      <c r="K402" s="441"/>
      <c r="L402" s="8">
        <v>2000</v>
      </c>
      <c r="M402" s="8"/>
      <c r="N402" s="8"/>
      <c r="O402" s="8"/>
      <c r="P402" s="52"/>
    </row>
    <row r="403" spans="1:17" ht="17.25" customHeight="1">
      <c r="A403" s="2"/>
      <c r="B403" s="7"/>
      <c r="C403" s="7"/>
      <c r="D403" s="66"/>
      <c r="E403" s="439" t="s">
        <v>360</v>
      </c>
      <c r="F403" s="440"/>
      <c r="G403" s="440"/>
      <c r="H403" s="440"/>
      <c r="I403" s="440"/>
      <c r="J403" s="441" t="s">
        <v>361</v>
      </c>
      <c r="K403" s="441"/>
      <c r="L403" s="8">
        <v>44800</v>
      </c>
      <c r="M403" s="8"/>
      <c r="N403" s="8"/>
      <c r="O403" s="8"/>
      <c r="P403" s="52"/>
    </row>
    <row r="404" spans="1:17" ht="17.25" customHeight="1">
      <c r="A404" s="2"/>
      <c r="B404" s="7"/>
      <c r="C404" s="7"/>
      <c r="D404" s="66"/>
      <c r="E404" s="437" t="s">
        <v>362</v>
      </c>
      <c r="F404" s="438"/>
      <c r="G404" s="438"/>
      <c r="H404" s="438"/>
      <c r="I404" s="438"/>
      <c r="J404" s="438"/>
      <c r="K404" s="70"/>
      <c r="L404" s="8">
        <f>+L405</f>
        <v>3200</v>
      </c>
      <c r="M404" s="8"/>
      <c r="N404" s="8"/>
      <c r="O404" s="8"/>
      <c r="P404" s="52"/>
    </row>
    <row r="405" spans="1:17" ht="17.25" customHeight="1">
      <c r="A405" s="2"/>
      <c r="B405" s="7"/>
      <c r="C405" s="7"/>
      <c r="D405" s="66"/>
      <c r="E405" s="439" t="s">
        <v>363</v>
      </c>
      <c r="F405" s="440"/>
      <c r="G405" s="440"/>
      <c r="H405" s="440"/>
      <c r="I405" s="440"/>
      <c r="J405" s="441" t="s">
        <v>364</v>
      </c>
      <c r="K405" s="441"/>
      <c r="L405" s="8">
        <v>3200</v>
      </c>
      <c r="M405" s="8"/>
      <c r="N405" s="8"/>
      <c r="O405" s="8"/>
      <c r="P405" s="52"/>
    </row>
    <row r="406" spans="1:17" ht="17.25" customHeight="1">
      <c r="A406" s="2"/>
      <c r="B406" s="7"/>
      <c r="C406" s="7"/>
      <c r="D406" s="66"/>
      <c r="E406" s="439" t="s">
        <v>365</v>
      </c>
      <c r="F406" s="440"/>
      <c r="G406" s="440"/>
      <c r="H406" s="440"/>
      <c r="I406" s="440"/>
      <c r="J406" s="441"/>
      <c r="K406" s="441"/>
      <c r="L406" s="8"/>
      <c r="M406" s="8"/>
      <c r="N406" s="8"/>
      <c r="O406" s="8"/>
      <c r="P406" s="52"/>
    </row>
    <row r="407" spans="1:17" ht="17.25" customHeight="1">
      <c r="A407" s="2"/>
      <c r="B407" s="7"/>
      <c r="C407" s="7"/>
      <c r="D407" s="66"/>
      <c r="E407" s="437" t="s">
        <v>366</v>
      </c>
      <c r="F407" s="438"/>
      <c r="G407" s="438"/>
      <c r="H407" s="438"/>
      <c r="I407" s="438"/>
      <c r="J407" s="438"/>
      <c r="K407" s="70"/>
      <c r="L407" s="8">
        <f>+SUM(L408:L412)</f>
        <v>23160</v>
      </c>
      <c r="M407" s="8"/>
      <c r="N407" s="8"/>
      <c r="O407" s="8"/>
      <c r="P407" s="52"/>
    </row>
    <row r="408" spans="1:17" ht="17.25" customHeight="1">
      <c r="A408" s="2"/>
      <c r="B408" s="7"/>
      <c r="C408" s="7"/>
      <c r="D408" s="66"/>
      <c r="E408" s="439" t="s">
        <v>367</v>
      </c>
      <c r="F408" s="440"/>
      <c r="G408" s="440"/>
      <c r="H408" s="440"/>
      <c r="I408" s="440"/>
      <c r="J408" s="441" t="s">
        <v>368</v>
      </c>
      <c r="K408" s="441"/>
      <c r="L408" s="8">
        <v>10800</v>
      </c>
      <c r="M408" s="8"/>
      <c r="N408" s="8"/>
      <c r="O408" s="8"/>
      <c r="P408" s="52"/>
    </row>
    <row r="409" spans="1:17" ht="17.25" customHeight="1">
      <c r="A409" s="2"/>
      <c r="B409" s="7"/>
      <c r="C409" s="7"/>
      <c r="D409" s="66"/>
      <c r="E409" s="439" t="s">
        <v>369</v>
      </c>
      <c r="F409" s="440"/>
      <c r="G409" s="440"/>
      <c r="H409" s="440"/>
      <c r="I409" s="440"/>
      <c r="J409" s="441" t="s">
        <v>370</v>
      </c>
      <c r="K409" s="441"/>
      <c r="L409" s="8">
        <v>2400</v>
      </c>
      <c r="M409" s="8"/>
      <c r="N409" s="8"/>
      <c r="O409" s="8"/>
      <c r="P409" s="52"/>
    </row>
    <row r="410" spans="1:17" ht="17.25" customHeight="1">
      <c r="A410" s="2"/>
      <c r="B410" s="7"/>
      <c r="C410" s="7"/>
      <c r="D410" s="66"/>
      <c r="E410" s="439" t="s">
        <v>371</v>
      </c>
      <c r="F410" s="440"/>
      <c r="G410" s="440"/>
      <c r="H410" s="440"/>
      <c r="I410" s="440"/>
      <c r="J410" s="441" t="s">
        <v>372</v>
      </c>
      <c r="K410" s="441"/>
      <c r="L410" s="8">
        <v>1200</v>
      </c>
      <c r="M410" s="8"/>
      <c r="N410" s="8"/>
      <c r="O410" s="8"/>
      <c r="P410" s="52"/>
    </row>
    <row r="411" spans="1:17" ht="17.25" customHeight="1">
      <c r="A411" s="2"/>
      <c r="B411" s="7"/>
      <c r="C411" s="7"/>
      <c r="D411" s="66"/>
      <c r="E411" s="439" t="s">
        <v>373</v>
      </c>
      <c r="F411" s="440"/>
      <c r="G411" s="440"/>
      <c r="H411" s="440"/>
      <c r="I411" s="440"/>
      <c r="J411" s="441" t="s">
        <v>374</v>
      </c>
      <c r="K411" s="441"/>
      <c r="L411" s="8">
        <v>4000</v>
      </c>
      <c r="M411" s="8"/>
      <c r="N411" s="8"/>
      <c r="O411" s="8"/>
      <c r="P411" s="52"/>
    </row>
    <row r="412" spans="1:17" ht="17.25" customHeight="1">
      <c r="A412" s="2"/>
      <c r="B412" s="7"/>
      <c r="C412" s="7"/>
      <c r="D412" s="66"/>
      <c r="E412" s="439" t="s">
        <v>375</v>
      </c>
      <c r="F412" s="440"/>
      <c r="G412" s="440"/>
      <c r="H412" s="440"/>
      <c r="I412" s="440"/>
      <c r="J412" s="441" t="s">
        <v>376</v>
      </c>
      <c r="K412" s="441"/>
      <c r="L412" s="8">
        <v>4760</v>
      </c>
      <c r="M412" s="8"/>
      <c r="N412" s="8"/>
      <c r="O412" s="8"/>
      <c r="P412" s="52"/>
    </row>
    <row r="413" spans="1:17" ht="17.25" customHeight="1">
      <c r="A413" s="2"/>
      <c r="B413" s="7"/>
      <c r="C413" s="7"/>
      <c r="D413" s="66"/>
      <c r="E413" s="439" t="s">
        <v>377</v>
      </c>
      <c r="F413" s="440"/>
      <c r="G413" s="440"/>
      <c r="H413" s="440"/>
      <c r="I413" s="440"/>
      <c r="J413" s="441" t="s">
        <v>378</v>
      </c>
      <c r="K413" s="441"/>
      <c r="L413" s="8">
        <v>3000</v>
      </c>
      <c r="M413" s="8"/>
      <c r="N413" s="8"/>
      <c r="O413" s="8"/>
      <c r="P413" s="52"/>
    </row>
    <row r="414" spans="1:17" ht="17.25" customHeight="1">
      <c r="A414" s="2"/>
      <c r="B414" s="7"/>
      <c r="C414" s="7"/>
      <c r="D414" s="66"/>
      <c r="E414" s="439" t="s">
        <v>379</v>
      </c>
      <c r="F414" s="440"/>
      <c r="G414" s="440"/>
      <c r="H414" s="440"/>
      <c r="I414" s="440"/>
      <c r="J414" s="441" t="s">
        <v>380</v>
      </c>
      <c r="K414" s="441"/>
      <c r="L414" s="8">
        <v>6000</v>
      </c>
      <c r="M414" s="8"/>
      <c r="N414" s="8"/>
      <c r="O414" s="8"/>
      <c r="P414" s="52"/>
    </row>
    <row r="415" spans="1:17" ht="17.25" customHeight="1">
      <c r="A415" s="2"/>
      <c r="B415" s="7"/>
      <c r="C415" s="7"/>
      <c r="D415" s="66"/>
      <c r="E415" s="439" t="s">
        <v>381</v>
      </c>
      <c r="F415" s="440"/>
      <c r="G415" s="440"/>
      <c r="H415" s="440"/>
      <c r="I415" s="440"/>
      <c r="J415" s="441" t="s">
        <v>382</v>
      </c>
      <c r="K415" s="441"/>
      <c r="L415" s="8">
        <v>1000</v>
      </c>
      <c r="M415" s="8"/>
      <c r="N415" s="8"/>
      <c r="O415" s="8"/>
      <c r="P415" s="52"/>
    </row>
    <row r="416" spans="1:17" s="25" customFormat="1" ht="17.25" customHeight="1">
      <c r="A416" s="17"/>
      <c r="B416" s="18"/>
      <c r="C416" s="18"/>
      <c r="D416" s="68"/>
      <c r="E416" s="445" t="s">
        <v>813</v>
      </c>
      <c r="F416" s="446"/>
      <c r="G416" s="446"/>
      <c r="H416" s="446"/>
      <c r="I416" s="446"/>
      <c r="J416" s="447" t="s">
        <v>383</v>
      </c>
      <c r="K416" s="447"/>
      <c r="L416" s="19">
        <v>20000</v>
      </c>
      <c r="M416" s="19"/>
      <c r="N416" s="19"/>
      <c r="O416" s="19"/>
      <c r="P416" s="33" t="s">
        <v>826</v>
      </c>
      <c r="Q416" s="80" t="s">
        <v>825</v>
      </c>
    </row>
    <row r="417" spans="1:16" ht="17.25" customHeight="1">
      <c r="A417" s="2"/>
      <c r="B417" s="7"/>
      <c r="C417" s="7"/>
      <c r="D417" s="66"/>
      <c r="E417" s="437" t="s">
        <v>384</v>
      </c>
      <c r="F417" s="438"/>
      <c r="G417" s="438"/>
      <c r="H417" s="438"/>
      <c r="I417" s="438"/>
      <c r="J417" s="438"/>
      <c r="K417" s="70"/>
      <c r="L417" s="8">
        <f>+L418+L419</f>
        <v>13626</v>
      </c>
      <c r="M417" s="8"/>
      <c r="N417" s="8"/>
      <c r="O417" s="8"/>
      <c r="P417" s="52"/>
    </row>
    <row r="418" spans="1:16" ht="17.25" customHeight="1">
      <c r="A418" s="2"/>
      <c r="B418" s="7"/>
      <c r="C418" s="7"/>
      <c r="D418" s="66"/>
      <c r="E418" s="439" t="s">
        <v>385</v>
      </c>
      <c r="F418" s="440"/>
      <c r="G418" s="440"/>
      <c r="H418" s="440"/>
      <c r="I418" s="440"/>
      <c r="J418" s="441" t="s">
        <v>631</v>
      </c>
      <c r="K418" s="441"/>
      <c r="L418" s="8">
        <v>3906</v>
      </c>
      <c r="M418" s="8"/>
      <c r="N418" s="8"/>
      <c r="O418" s="8"/>
      <c r="P418" s="52"/>
    </row>
    <row r="419" spans="1:16" ht="17.25" customHeight="1">
      <c r="A419" s="2"/>
      <c r="B419" s="7"/>
      <c r="C419" s="7"/>
      <c r="D419" s="66"/>
      <c r="E419" s="439" t="s">
        <v>386</v>
      </c>
      <c r="F419" s="440"/>
      <c r="G419" s="440"/>
      <c r="H419" s="440"/>
      <c r="I419" s="440"/>
      <c r="J419" s="441" t="s">
        <v>632</v>
      </c>
      <c r="K419" s="441"/>
      <c r="L419" s="8">
        <v>9720</v>
      </c>
      <c r="M419" s="8"/>
      <c r="N419" s="8"/>
      <c r="O419" s="8"/>
      <c r="P419" s="52"/>
    </row>
    <row r="420" spans="1:16" ht="17.25" customHeight="1">
      <c r="A420" s="3"/>
      <c r="B420" s="4" t="s">
        <v>8</v>
      </c>
      <c r="C420" s="4"/>
      <c r="D420" s="6"/>
      <c r="E420" s="435" t="s">
        <v>387</v>
      </c>
      <c r="F420" s="435"/>
      <c r="G420" s="435"/>
      <c r="H420" s="435"/>
      <c r="I420" s="435" t="s">
        <v>388</v>
      </c>
      <c r="J420" s="435"/>
      <c r="K420" s="435"/>
      <c r="L420" s="436"/>
      <c r="M420" s="5">
        <f>+L421+L422+L423+L424+L425</f>
        <v>34880</v>
      </c>
      <c r="N420" s="5">
        <v>22990</v>
      </c>
      <c r="O420" s="21">
        <f>+M420-N420</f>
        <v>11890</v>
      </c>
      <c r="P420" s="52"/>
    </row>
    <row r="421" spans="1:16" ht="17.25" customHeight="1">
      <c r="A421" s="2"/>
      <c r="B421" s="7"/>
      <c r="C421" s="7"/>
      <c r="D421" s="66"/>
      <c r="E421" s="439" t="s">
        <v>389</v>
      </c>
      <c r="F421" s="440"/>
      <c r="G421" s="440"/>
      <c r="H421" s="440"/>
      <c r="I421" s="440"/>
      <c r="J421" s="441" t="s">
        <v>390</v>
      </c>
      <c r="K421" s="441"/>
      <c r="L421" s="8">
        <v>10800</v>
      </c>
      <c r="M421" s="8"/>
      <c r="N421" s="8"/>
      <c r="O421" s="8"/>
      <c r="P421" s="52"/>
    </row>
    <row r="422" spans="1:16" ht="17.25" customHeight="1">
      <c r="A422" s="2"/>
      <c r="B422" s="7"/>
      <c r="C422" s="7"/>
      <c r="D422" s="66"/>
      <c r="E422" s="439" t="s">
        <v>391</v>
      </c>
      <c r="F422" s="440"/>
      <c r="G422" s="440"/>
      <c r="H422" s="440"/>
      <c r="I422" s="440"/>
      <c r="J422" s="441" t="s">
        <v>392</v>
      </c>
      <c r="K422" s="441"/>
      <c r="L422" s="8">
        <v>4200</v>
      </c>
      <c r="M422" s="8"/>
      <c r="N422" s="8"/>
      <c r="O422" s="8"/>
      <c r="P422" s="52"/>
    </row>
    <row r="423" spans="1:16" ht="17.25" customHeight="1">
      <c r="A423" s="2"/>
      <c r="B423" s="7"/>
      <c r="C423" s="7"/>
      <c r="D423" s="66"/>
      <c r="E423" s="439" t="s">
        <v>393</v>
      </c>
      <c r="F423" s="440"/>
      <c r="G423" s="440"/>
      <c r="H423" s="440"/>
      <c r="I423" s="440"/>
      <c r="J423" s="441" t="s">
        <v>394</v>
      </c>
      <c r="K423" s="441"/>
      <c r="L423" s="8">
        <f>630*3</f>
        <v>1890</v>
      </c>
      <c r="M423" s="8"/>
      <c r="N423" s="8"/>
      <c r="O423" s="8"/>
      <c r="P423" s="52"/>
    </row>
    <row r="424" spans="1:16" ht="17.25" customHeight="1">
      <c r="A424" s="2"/>
      <c r="B424" s="7"/>
      <c r="C424" s="7"/>
      <c r="D424" s="66"/>
      <c r="E424" s="63" t="s">
        <v>395</v>
      </c>
      <c r="F424" s="64"/>
      <c r="G424" s="64"/>
      <c r="H424" s="64"/>
      <c r="I424" s="64"/>
      <c r="J424" s="441" t="s">
        <v>396</v>
      </c>
      <c r="K424" s="441"/>
      <c r="L424" s="8">
        <v>1000</v>
      </c>
      <c r="M424" s="8"/>
      <c r="N424" s="8"/>
      <c r="O424" s="8"/>
      <c r="P424" s="52"/>
    </row>
    <row r="425" spans="1:16" ht="17.25" customHeight="1">
      <c r="A425" s="2"/>
      <c r="B425" s="7"/>
      <c r="C425" s="7"/>
      <c r="D425" s="66"/>
      <c r="E425" s="437" t="s">
        <v>397</v>
      </c>
      <c r="F425" s="438"/>
      <c r="G425" s="438"/>
      <c r="H425" s="438"/>
      <c r="I425" s="438"/>
      <c r="J425" s="438"/>
      <c r="K425" s="70"/>
      <c r="L425" s="8">
        <f>+SUM(L426:L430)</f>
        <v>16990</v>
      </c>
      <c r="M425" s="8"/>
      <c r="N425" s="8"/>
      <c r="O425" s="8"/>
      <c r="P425" s="52"/>
    </row>
    <row r="426" spans="1:16" ht="17.25" customHeight="1">
      <c r="A426" s="2"/>
      <c r="B426" s="7"/>
      <c r="C426" s="7"/>
      <c r="D426" s="66"/>
      <c r="E426" s="439" t="s">
        <v>398</v>
      </c>
      <c r="F426" s="440"/>
      <c r="G426" s="440"/>
      <c r="H426" s="440"/>
      <c r="I426" s="440"/>
      <c r="J426" s="441" t="s">
        <v>399</v>
      </c>
      <c r="K426" s="441"/>
      <c r="L426" s="8">
        <v>1540</v>
      </c>
      <c r="M426" s="8"/>
      <c r="N426" s="8"/>
      <c r="O426" s="8"/>
      <c r="P426" s="52"/>
    </row>
    <row r="427" spans="1:16" ht="17.25" customHeight="1">
      <c r="A427" s="2"/>
      <c r="B427" s="7"/>
      <c r="C427" s="7"/>
      <c r="D427" s="66"/>
      <c r="E427" s="439" t="s">
        <v>400</v>
      </c>
      <c r="F427" s="440"/>
      <c r="G427" s="440"/>
      <c r="H427" s="440"/>
      <c r="I427" s="440"/>
      <c r="J427" s="441" t="s">
        <v>401</v>
      </c>
      <c r="K427" s="441"/>
      <c r="L427" s="8">
        <v>750</v>
      </c>
      <c r="M427" s="8"/>
      <c r="N427" s="8"/>
      <c r="O427" s="8"/>
      <c r="P427" s="52"/>
    </row>
    <row r="428" spans="1:16" ht="17.25" customHeight="1">
      <c r="A428" s="2"/>
      <c r="B428" s="7"/>
      <c r="C428" s="7"/>
      <c r="D428" s="66"/>
      <c r="E428" s="439" t="s">
        <v>402</v>
      </c>
      <c r="F428" s="440"/>
      <c r="G428" s="440"/>
      <c r="H428" s="440"/>
      <c r="I428" s="440"/>
      <c r="J428" s="441" t="s">
        <v>403</v>
      </c>
      <c r="K428" s="441"/>
      <c r="L428" s="8">
        <v>1920</v>
      </c>
      <c r="M428" s="8"/>
      <c r="N428" s="8"/>
      <c r="O428" s="8"/>
      <c r="P428" s="52"/>
    </row>
    <row r="429" spans="1:16" ht="17.25" customHeight="1">
      <c r="A429" s="2"/>
      <c r="B429" s="7"/>
      <c r="C429" s="7"/>
      <c r="D429" s="66"/>
      <c r="E429" s="439" t="s">
        <v>404</v>
      </c>
      <c r="F429" s="440"/>
      <c r="G429" s="440"/>
      <c r="H429" s="440"/>
      <c r="I429" s="440"/>
      <c r="J429" s="441" t="s">
        <v>405</v>
      </c>
      <c r="K429" s="441"/>
      <c r="L429" s="8">
        <v>1980</v>
      </c>
      <c r="M429" s="8"/>
      <c r="N429" s="8"/>
      <c r="O429" s="8"/>
      <c r="P429" s="52"/>
    </row>
    <row r="430" spans="1:16" ht="17.25" customHeight="1">
      <c r="A430" s="2"/>
      <c r="B430" s="7"/>
      <c r="C430" s="7"/>
      <c r="D430" s="66"/>
      <c r="E430" s="439" t="s">
        <v>406</v>
      </c>
      <c r="F430" s="440"/>
      <c r="G430" s="440"/>
      <c r="H430" s="440"/>
      <c r="I430" s="440"/>
      <c r="J430" s="441" t="s">
        <v>407</v>
      </c>
      <c r="K430" s="441"/>
      <c r="L430" s="8">
        <v>10800</v>
      </c>
      <c r="M430" s="8"/>
      <c r="N430" s="8"/>
      <c r="O430" s="8"/>
      <c r="P430" s="52"/>
    </row>
    <row r="431" spans="1:16" ht="17.25" customHeight="1">
      <c r="A431" s="3"/>
      <c r="B431" s="4" t="s">
        <v>8</v>
      </c>
      <c r="C431" s="4"/>
      <c r="D431" s="6"/>
      <c r="E431" s="435" t="s">
        <v>408</v>
      </c>
      <c r="F431" s="435"/>
      <c r="G431" s="435"/>
      <c r="H431" s="435"/>
      <c r="I431" s="435" t="s">
        <v>409</v>
      </c>
      <c r="J431" s="435"/>
      <c r="K431" s="435"/>
      <c r="L431" s="436"/>
      <c r="M431" s="5">
        <f>+SUM(L432:L434)+SUM(L436:L444)</f>
        <v>10820</v>
      </c>
      <c r="N431" s="5">
        <v>9220</v>
      </c>
      <c r="O431" s="21">
        <f>+M431-N431</f>
        <v>1600</v>
      </c>
      <c r="P431" s="52"/>
    </row>
    <row r="432" spans="1:16" ht="17.25" customHeight="1">
      <c r="A432" s="2"/>
      <c r="B432" s="7"/>
      <c r="C432" s="7"/>
      <c r="D432" s="66"/>
      <c r="E432" s="439" t="s">
        <v>410</v>
      </c>
      <c r="F432" s="440"/>
      <c r="G432" s="440"/>
      <c r="H432" s="440"/>
      <c r="I432" s="440"/>
      <c r="J432" s="441" t="s">
        <v>411</v>
      </c>
      <c r="K432" s="441"/>
      <c r="L432" s="8">
        <v>2880</v>
      </c>
      <c r="M432" s="8"/>
      <c r="N432" s="8"/>
      <c r="O432" s="8"/>
      <c r="P432" s="52"/>
    </row>
    <row r="433" spans="1:16" ht="17.25" customHeight="1">
      <c r="A433" s="2"/>
      <c r="B433" s="7"/>
      <c r="C433" s="7"/>
      <c r="D433" s="66"/>
      <c r="E433" s="439" t="s">
        <v>412</v>
      </c>
      <c r="F433" s="440"/>
      <c r="G433" s="440"/>
      <c r="H433" s="440"/>
      <c r="I433" s="440"/>
      <c r="J433" s="441" t="s">
        <v>413</v>
      </c>
      <c r="K433" s="441"/>
      <c r="L433" s="8">
        <v>1200</v>
      </c>
      <c r="M433" s="8"/>
      <c r="N433" s="8"/>
      <c r="O433" s="8"/>
      <c r="P433" s="52"/>
    </row>
    <row r="434" spans="1:16" ht="17.25" customHeight="1">
      <c r="A434" s="2"/>
      <c r="B434" s="7"/>
      <c r="C434" s="7"/>
      <c r="D434" s="66"/>
      <c r="E434" s="439" t="s">
        <v>414</v>
      </c>
      <c r="F434" s="440"/>
      <c r="G434" s="440"/>
      <c r="H434" s="440"/>
      <c r="I434" s="440"/>
      <c r="J434" s="441" t="s">
        <v>415</v>
      </c>
      <c r="K434" s="441"/>
      <c r="L434" s="8">
        <v>400</v>
      </c>
      <c r="M434" s="8"/>
      <c r="N434" s="8"/>
      <c r="O434" s="8"/>
      <c r="P434" s="52"/>
    </row>
    <row r="435" spans="1:16" ht="17.25" customHeight="1">
      <c r="A435" s="2"/>
      <c r="B435" s="7"/>
      <c r="C435" s="7"/>
      <c r="D435" s="69"/>
      <c r="E435" s="438" t="s">
        <v>416</v>
      </c>
      <c r="F435" s="438"/>
      <c r="G435" s="438"/>
      <c r="H435" s="438"/>
      <c r="I435" s="438"/>
      <c r="J435" s="438"/>
      <c r="K435" s="438"/>
      <c r="L435" s="448"/>
      <c r="M435" s="8"/>
      <c r="N435" s="8"/>
      <c r="O435" s="8"/>
      <c r="P435" s="52"/>
    </row>
    <row r="436" spans="1:16" ht="17.25" customHeight="1">
      <c r="A436" s="2"/>
      <c r="B436" s="7"/>
      <c r="C436" s="7"/>
      <c r="D436" s="66"/>
      <c r="E436" s="449" t="s">
        <v>417</v>
      </c>
      <c r="F436" s="416"/>
      <c r="G436" s="416"/>
      <c r="H436" s="416"/>
      <c r="I436" s="416"/>
      <c r="J436" s="416"/>
      <c r="K436" s="416"/>
      <c r="L436" s="8">
        <v>560</v>
      </c>
      <c r="M436" s="24"/>
      <c r="N436" s="7"/>
      <c r="O436" s="7"/>
      <c r="P436" s="52"/>
    </row>
    <row r="437" spans="1:16" ht="17.25" customHeight="1">
      <c r="A437" s="2"/>
      <c r="B437" s="7"/>
      <c r="C437" s="7"/>
      <c r="D437" s="66"/>
      <c r="E437" s="439" t="s">
        <v>811</v>
      </c>
      <c r="F437" s="440"/>
      <c r="G437" s="440"/>
      <c r="H437" s="440"/>
      <c r="I437" s="440"/>
      <c r="J437" s="441" t="s">
        <v>812</v>
      </c>
      <c r="K437" s="441"/>
      <c r="L437" s="8">
        <f>20*20</f>
        <v>400</v>
      </c>
      <c r="M437" s="24"/>
      <c r="N437" s="7"/>
      <c r="O437" s="7"/>
      <c r="P437" s="52"/>
    </row>
    <row r="438" spans="1:16" ht="17.25" customHeight="1">
      <c r="A438" s="2"/>
      <c r="B438" s="7"/>
      <c r="C438" s="7"/>
      <c r="D438" s="66"/>
      <c r="E438" s="439" t="s">
        <v>418</v>
      </c>
      <c r="F438" s="440"/>
      <c r="G438" s="440"/>
      <c r="H438" s="440"/>
      <c r="I438" s="440"/>
      <c r="J438" s="441" t="s">
        <v>419</v>
      </c>
      <c r="K438" s="441"/>
      <c r="L438" s="8">
        <v>1200</v>
      </c>
      <c r="M438" s="8"/>
      <c r="N438" s="8"/>
      <c r="O438" s="8"/>
      <c r="P438" s="52"/>
    </row>
    <row r="439" spans="1:16" ht="17.25" customHeight="1">
      <c r="A439" s="2"/>
      <c r="B439" s="7"/>
      <c r="C439" s="7"/>
      <c r="D439" s="66"/>
      <c r="E439" s="439" t="s">
        <v>420</v>
      </c>
      <c r="F439" s="440"/>
      <c r="G439" s="440"/>
      <c r="H439" s="440"/>
      <c r="I439" s="440"/>
      <c r="J439" s="441" t="s">
        <v>421</v>
      </c>
      <c r="K439" s="441"/>
      <c r="L439" s="8">
        <v>1920</v>
      </c>
      <c r="M439" s="8"/>
      <c r="N439" s="8"/>
      <c r="O439" s="8"/>
      <c r="P439" s="52"/>
    </row>
    <row r="440" spans="1:16" ht="17.25" customHeight="1">
      <c r="A440" s="2"/>
      <c r="B440" s="7"/>
      <c r="C440" s="7"/>
      <c r="D440" s="66"/>
      <c r="E440" s="439" t="s">
        <v>422</v>
      </c>
      <c r="F440" s="440"/>
      <c r="G440" s="440"/>
      <c r="H440" s="440"/>
      <c r="I440" s="440"/>
      <c r="J440" s="441" t="s">
        <v>423</v>
      </c>
      <c r="K440" s="441"/>
      <c r="L440" s="8">
        <v>180</v>
      </c>
      <c r="M440" s="8"/>
      <c r="N440" s="8"/>
      <c r="O440" s="8"/>
      <c r="P440" s="52"/>
    </row>
    <row r="441" spans="1:16" ht="17.25" customHeight="1">
      <c r="A441" s="2"/>
      <c r="B441" s="7"/>
      <c r="C441" s="7"/>
      <c r="D441" s="66"/>
      <c r="E441" s="439" t="s">
        <v>424</v>
      </c>
      <c r="F441" s="440"/>
      <c r="G441" s="440"/>
      <c r="H441" s="440"/>
      <c r="I441" s="440"/>
      <c r="J441" s="441" t="s">
        <v>425</v>
      </c>
      <c r="K441" s="441"/>
      <c r="L441" s="8">
        <v>1000</v>
      </c>
      <c r="M441" s="8"/>
      <c r="N441" s="8"/>
      <c r="O441" s="8"/>
      <c r="P441" s="52"/>
    </row>
    <row r="442" spans="1:16" ht="17.25" customHeight="1">
      <c r="A442" s="2"/>
      <c r="B442" s="7"/>
      <c r="C442" s="7"/>
      <c r="D442" s="66"/>
      <c r="E442" s="439" t="s">
        <v>334</v>
      </c>
      <c r="F442" s="440"/>
      <c r="G442" s="440"/>
      <c r="H442" s="440"/>
      <c r="I442" s="440"/>
      <c r="J442" s="441" t="s">
        <v>426</v>
      </c>
      <c r="K442" s="441"/>
      <c r="L442" s="8">
        <v>320</v>
      </c>
      <c r="M442" s="8"/>
      <c r="N442" s="8"/>
      <c r="O442" s="8"/>
      <c r="P442" s="52"/>
    </row>
    <row r="443" spans="1:16" ht="17.25" customHeight="1">
      <c r="A443" s="2"/>
      <c r="B443" s="7"/>
      <c r="C443" s="7"/>
      <c r="D443" s="66"/>
      <c r="E443" s="439" t="s">
        <v>427</v>
      </c>
      <c r="F443" s="440"/>
      <c r="G443" s="440"/>
      <c r="H443" s="440"/>
      <c r="I443" s="440"/>
      <c r="J443" s="441" t="s">
        <v>428</v>
      </c>
      <c r="K443" s="441"/>
      <c r="L443" s="8">
        <v>400</v>
      </c>
      <c r="M443" s="8"/>
      <c r="N443" s="8"/>
      <c r="O443" s="8"/>
      <c r="P443" s="52"/>
    </row>
    <row r="444" spans="1:16" ht="17.25" customHeight="1">
      <c r="A444" s="2"/>
      <c r="B444" s="7"/>
      <c r="C444" s="7"/>
      <c r="D444" s="66"/>
      <c r="E444" s="439" t="s">
        <v>429</v>
      </c>
      <c r="F444" s="440"/>
      <c r="G444" s="440"/>
      <c r="H444" s="440"/>
      <c r="I444" s="440"/>
      <c r="J444" s="441" t="s">
        <v>430</v>
      </c>
      <c r="K444" s="441"/>
      <c r="L444" s="8">
        <v>360</v>
      </c>
      <c r="M444" s="8"/>
      <c r="N444" s="8"/>
      <c r="O444" s="8"/>
      <c r="P444" s="52"/>
    </row>
    <row r="445" spans="1:16" ht="17.25" customHeight="1">
      <c r="A445" s="3"/>
      <c r="B445" s="4" t="s">
        <v>8</v>
      </c>
      <c r="C445" s="4"/>
      <c r="D445" s="6"/>
      <c r="E445" s="435" t="s">
        <v>431</v>
      </c>
      <c r="F445" s="435"/>
      <c r="G445" s="435"/>
      <c r="H445" s="435"/>
      <c r="I445" s="435" t="s">
        <v>432</v>
      </c>
      <c r="J445" s="435"/>
      <c r="K445" s="435"/>
      <c r="L445" s="436"/>
      <c r="M445" s="5">
        <f>+L446+L447+L448+L449+L450+L451+L458+L459+L460+L461+L462</f>
        <v>573881</v>
      </c>
      <c r="N445" s="5">
        <v>392822</v>
      </c>
      <c r="O445" s="21">
        <f>+M445-N445</f>
        <v>181059</v>
      </c>
      <c r="P445" s="52"/>
    </row>
    <row r="446" spans="1:16" ht="17.25" customHeight="1">
      <c r="A446" s="2"/>
      <c r="B446" s="7"/>
      <c r="C446" s="7"/>
      <c r="D446" s="66"/>
      <c r="E446" s="439" t="s">
        <v>433</v>
      </c>
      <c r="F446" s="440"/>
      <c r="G446" s="440"/>
      <c r="H446" s="440"/>
      <c r="I446" s="440"/>
      <c r="J446" s="441" t="s">
        <v>434</v>
      </c>
      <c r="K446" s="441"/>
      <c r="L446" s="8">
        <v>2400</v>
      </c>
      <c r="M446" s="8"/>
      <c r="N446" s="8"/>
      <c r="O446" s="8"/>
      <c r="P446" s="52"/>
    </row>
    <row r="447" spans="1:16" ht="17.25" customHeight="1">
      <c r="A447" s="2"/>
      <c r="B447" s="7"/>
      <c r="C447" s="7"/>
      <c r="D447" s="66"/>
      <c r="E447" s="439" t="s">
        <v>435</v>
      </c>
      <c r="F447" s="440"/>
      <c r="G447" s="440"/>
      <c r="H447" s="440"/>
      <c r="I447" s="440"/>
      <c r="J447" s="441" t="s">
        <v>436</v>
      </c>
      <c r="K447" s="441"/>
      <c r="L447" s="8">
        <v>3360</v>
      </c>
      <c r="M447" s="8"/>
      <c r="N447" s="8"/>
      <c r="O447" s="8"/>
      <c r="P447" s="52"/>
    </row>
    <row r="448" spans="1:16" ht="17.25" customHeight="1">
      <c r="A448" s="2"/>
      <c r="B448" s="7"/>
      <c r="C448" s="7"/>
      <c r="D448" s="66"/>
      <c r="E448" s="439" t="s">
        <v>437</v>
      </c>
      <c r="F448" s="440"/>
      <c r="G448" s="440"/>
      <c r="H448" s="440"/>
      <c r="I448" s="440"/>
      <c r="J448" s="441" t="s">
        <v>438</v>
      </c>
      <c r="K448" s="441"/>
      <c r="L448" s="8">
        <v>17451</v>
      </c>
      <c r="M448" s="8"/>
      <c r="N448" s="8"/>
      <c r="O448" s="8"/>
      <c r="P448" s="52"/>
    </row>
    <row r="449" spans="1:17" ht="17.25" customHeight="1">
      <c r="A449" s="2"/>
      <c r="B449" s="7"/>
      <c r="C449" s="7"/>
      <c r="D449" s="66"/>
      <c r="E449" s="439" t="s">
        <v>439</v>
      </c>
      <c r="F449" s="440"/>
      <c r="G449" s="440"/>
      <c r="H449" s="440"/>
      <c r="I449" s="440"/>
      <c r="J449" s="441" t="s">
        <v>440</v>
      </c>
      <c r="K449" s="441"/>
      <c r="L449" s="8">
        <v>2000</v>
      </c>
      <c r="M449" s="8"/>
      <c r="N449" s="8"/>
      <c r="O449" s="8"/>
      <c r="P449" s="52"/>
    </row>
    <row r="450" spans="1:17" ht="17.25" customHeight="1">
      <c r="A450" s="2"/>
      <c r="B450" s="7"/>
      <c r="C450" s="7"/>
      <c r="D450" s="66"/>
      <c r="E450" s="439" t="s">
        <v>441</v>
      </c>
      <c r="F450" s="440"/>
      <c r="G450" s="440"/>
      <c r="H450" s="440"/>
      <c r="I450" s="440"/>
      <c r="J450" s="441" t="s">
        <v>442</v>
      </c>
      <c r="K450" s="441"/>
      <c r="L450" s="8">
        <v>7000</v>
      </c>
      <c r="M450" s="8"/>
      <c r="N450" s="8"/>
      <c r="O450" s="8"/>
      <c r="P450" s="52"/>
    </row>
    <row r="451" spans="1:17" ht="17.25" customHeight="1">
      <c r="A451" s="2"/>
      <c r="B451" s="7"/>
      <c r="C451" s="7"/>
      <c r="D451" s="66"/>
      <c r="E451" s="439" t="s">
        <v>443</v>
      </c>
      <c r="F451" s="440"/>
      <c r="G451" s="440"/>
      <c r="H451" s="440"/>
      <c r="I451" s="440"/>
      <c r="J451" s="441"/>
      <c r="K451" s="441"/>
      <c r="L451" s="8">
        <f>+L452+L455</f>
        <v>445450</v>
      </c>
      <c r="M451" s="8"/>
      <c r="N451" s="8"/>
      <c r="O451" s="8"/>
      <c r="P451" s="52"/>
    </row>
    <row r="452" spans="1:17" ht="17.25" customHeight="1">
      <c r="A452" s="2"/>
      <c r="B452" s="7"/>
      <c r="C452" s="7"/>
      <c r="D452" s="66"/>
      <c r="E452" s="439" t="s">
        <v>611</v>
      </c>
      <c r="F452" s="440"/>
      <c r="G452" s="440"/>
      <c r="H452" s="440"/>
      <c r="I452" s="440"/>
      <c r="J452" s="441"/>
      <c r="K452" s="441"/>
      <c r="L452" s="8">
        <f>+L453+L454</f>
        <v>372400</v>
      </c>
      <c r="M452" s="8"/>
      <c r="N452" s="8"/>
      <c r="O452" s="8"/>
      <c r="P452" s="52"/>
    </row>
    <row r="453" spans="1:17" ht="17.25" customHeight="1">
      <c r="A453" s="2"/>
      <c r="B453" s="7"/>
      <c r="C453" s="7"/>
      <c r="D453" s="66"/>
      <c r="E453" s="439" t="s">
        <v>612</v>
      </c>
      <c r="F453" s="440"/>
      <c r="G453" s="440"/>
      <c r="H453" s="440"/>
      <c r="I453" s="440"/>
      <c r="J453" s="441" t="s">
        <v>444</v>
      </c>
      <c r="K453" s="441"/>
      <c r="L453" s="8">
        <v>263900</v>
      </c>
      <c r="M453" s="8"/>
      <c r="N453" s="8"/>
      <c r="O453" s="8"/>
      <c r="P453" s="52"/>
    </row>
    <row r="454" spans="1:17" ht="17.25" customHeight="1">
      <c r="A454" s="2"/>
      <c r="B454" s="7"/>
      <c r="C454" s="7"/>
      <c r="D454" s="66"/>
      <c r="E454" s="439" t="s">
        <v>613</v>
      </c>
      <c r="F454" s="440"/>
      <c r="G454" s="440"/>
      <c r="H454" s="440"/>
      <c r="I454" s="440"/>
      <c r="J454" s="441" t="s">
        <v>473</v>
      </c>
      <c r="K454" s="441"/>
      <c r="L454" s="8">
        <v>108500</v>
      </c>
      <c r="M454" s="8"/>
      <c r="N454" s="8"/>
      <c r="O454" s="8"/>
      <c r="P454" s="52"/>
    </row>
    <row r="455" spans="1:17" s="25" customFormat="1" ht="17.25" customHeight="1">
      <c r="A455" s="17"/>
      <c r="B455" s="18"/>
      <c r="C455" s="18"/>
      <c r="D455" s="68"/>
      <c r="E455" s="456" t="s">
        <v>620</v>
      </c>
      <c r="F455" s="457"/>
      <c r="G455" s="457"/>
      <c r="H455" s="457"/>
      <c r="I455" s="457"/>
      <c r="J455" s="457"/>
      <c r="K455" s="74"/>
      <c r="L455" s="19">
        <f>+L456+L457</f>
        <v>73050</v>
      </c>
      <c r="M455" s="19"/>
      <c r="N455" s="19"/>
      <c r="O455" s="19"/>
      <c r="P455" s="80" t="s">
        <v>826</v>
      </c>
      <c r="Q455" s="33" t="s">
        <v>828</v>
      </c>
    </row>
    <row r="456" spans="1:17" ht="17.25" customHeight="1">
      <c r="A456" s="2"/>
      <c r="B456" s="7"/>
      <c r="C456" s="7"/>
      <c r="D456" s="66"/>
      <c r="E456" s="439" t="s">
        <v>615</v>
      </c>
      <c r="F456" s="440"/>
      <c r="G456" s="440"/>
      <c r="H456" s="440"/>
      <c r="I456" s="440"/>
      <c r="J456" s="441" t="s">
        <v>616</v>
      </c>
      <c r="K456" s="441"/>
      <c r="L456" s="8">
        <v>71050</v>
      </c>
      <c r="M456" s="8"/>
      <c r="N456" s="8"/>
      <c r="O456" s="8"/>
      <c r="P456" s="52"/>
    </row>
    <row r="457" spans="1:17" ht="17.25" customHeight="1">
      <c r="A457" s="2"/>
      <c r="B457" s="7"/>
      <c r="C457" s="7"/>
      <c r="D457" s="66"/>
      <c r="E457" s="439" t="s">
        <v>617</v>
      </c>
      <c r="F457" s="440"/>
      <c r="G457" s="440"/>
      <c r="H457" s="440"/>
      <c r="I457" s="440"/>
      <c r="J457" s="441" t="s">
        <v>446</v>
      </c>
      <c r="K457" s="441"/>
      <c r="L457" s="8">
        <v>2000</v>
      </c>
      <c r="M457" s="8"/>
      <c r="N457" s="8"/>
      <c r="O457" s="8"/>
      <c r="P457" s="52"/>
    </row>
    <row r="458" spans="1:17" ht="17.25" customHeight="1">
      <c r="A458" s="2"/>
      <c r="B458" s="7"/>
      <c r="C458" s="7"/>
      <c r="D458" s="66"/>
      <c r="E458" s="439" t="s">
        <v>447</v>
      </c>
      <c r="F458" s="440"/>
      <c r="G458" s="440"/>
      <c r="H458" s="440"/>
      <c r="I458" s="440"/>
      <c r="J458" s="441" t="s">
        <v>807</v>
      </c>
      <c r="K458" s="441"/>
      <c r="L458" s="8">
        <v>27400</v>
      </c>
      <c r="M458" s="8"/>
      <c r="N458" s="8"/>
      <c r="O458" s="8"/>
      <c r="P458" s="52"/>
    </row>
    <row r="459" spans="1:17" ht="17.25" customHeight="1">
      <c r="A459" s="2"/>
      <c r="B459" s="7"/>
      <c r="C459" s="7"/>
      <c r="D459" s="66"/>
      <c r="E459" s="439" t="s">
        <v>448</v>
      </c>
      <c r="F459" s="440"/>
      <c r="G459" s="440"/>
      <c r="H459" s="440"/>
      <c r="I459" s="440"/>
      <c r="J459" s="441" t="s">
        <v>449</v>
      </c>
      <c r="K459" s="441"/>
      <c r="L459" s="8">
        <v>900</v>
      </c>
      <c r="M459" s="8"/>
      <c r="N459" s="8"/>
      <c r="O459" s="8"/>
      <c r="P459" s="52"/>
    </row>
    <row r="460" spans="1:17" s="25" customFormat="1" ht="17.25" customHeight="1">
      <c r="A460" s="17"/>
      <c r="B460" s="18"/>
      <c r="C460" s="18"/>
      <c r="D460" s="68"/>
      <c r="E460" s="445" t="s">
        <v>817</v>
      </c>
      <c r="F460" s="446"/>
      <c r="G460" s="446"/>
      <c r="H460" s="446"/>
      <c r="I460" s="446"/>
      <c r="J460" s="447" t="s">
        <v>814</v>
      </c>
      <c r="K460" s="447"/>
      <c r="L460" s="19">
        <f>100*203</f>
        <v>20300</v>
      </c>
      <c r="M460" s="19"/>
      <c r="N460" s="19"/>
      <c r="O460" s="19"/>
      <c r="P460" s="80" t="s">
        <v>826</v>
      </c>
      <c r="Q460" s="33" t="s">
        <v>829</v>
      </c>
    </row>
    <row r="461" spans="1:17" s="25" customFormat="1" ht="17.25" customHeight="1">
      <c r="A461" s="17"/>
      <c r="B461" s="18"/>
      <c r="C461" s="18"/>
      <c r="D461" s="68"/>
      <c r="E461" s="445" t="s">
        <v>818</v>
      </c>
      <c r="F461" s="446"/>
      <c r="G461" s="446"/>
      <c r="H461" s="446"/>
      <c r="I461" s="446"/>
      <c r="J461" s="447" t="s">
        <v>819</v>
      </c>
      <c r="K461" s="447"/>
      <c r="L461" s="19">
        <f>70*203</f>
        <v>14210</v>
      </c>
      <c r="M461" s="19"/>
      <c r="N461" s="19"/>
      <c r="O461" s="19"/>
      <c r="P461" s="80"/>
      <c r="Q461" s="33"/>
    </row>
    <row r="462" spans="1:17" ht="17.25" customHeight="1">
      <c r="A462" s="2"/>
      <c r="B462" s="7"/>
      <c r="C462" s="7"/>
      <c r="D462" s="66"/>
      <c r="E462" s="437" t="s">
        <v>92</v>
      </c>
      <c r="F462" s="438"/>
      <c r="G462" s="438"/>
      <c r="H462" s="438"/>
      <c r="I462" s="438"/>
      <c r="J462" s="438"/>
      <c r="K462" s="70"/>
      <c r="L462" s="8">
        <f>+L463+L466+L468+L469</f>
        <v>33410</v>
      </c>
      <c r="M462" s="8"/>
      <c r="N462" s="8"/>
      <c r="O462" s="8"/>
      <c r="P462" s="52"/>
    </row>
    <row r="463" spans="1:17" ht="17.25" customHeight="1">
      <c r="A463" s="2"/>
      <c r="B463" s="7"/>
      <c r="C463" s="7"/>
      <c r="D463" s="66"/>
      <c r="E463" s="439" t="s">
        <v>611</v>
      </c>
      <c r="F463" s="440"/>
      <c r="G463" s="440"/>
      <c r="H463" s="440"/>
      <c r="I463" s="440"/>
      <c r="L463" s="8">
        <f>+L464+L465</f>
        <v>26650</v>
      </c>
      <c r="M463" s="8"/>
      <c r="N463" s="8"/>
      <c r="O463" s="8"/>
      <c r="P463" s="52"/>
    </row>
    <row r="464" spans="1:17" ht="17.25" customHeight="1">
      <c r="A464" s="2"/>
      <c r="B464" s="7"/>
      <c r="C464" s="7"/>
      <c r="D464" s="66"/>
      <c r="E464" s="439" t="s">
        <v>612</v>
      </c>
      <c r="F464" s="440"/>
      <c r="G464" s="440"/>
      <c r="H464" s="440"/>
      <c r="I464" s="440"/>
      <c r="J464" s="447" t="s">
        <v>618</v>
      </c>
      <c r="K464" s="447"/>
      <c r="L464" s="8">
        <v>22100</v>
      </c>
      <c r="M464" s="8"/>
      <c r="N464" s="8"/>
      <c r="O464" s="8"/>
      <c r="P464" s="52"/>
    </row>
    <row r="465" spans="1:17" ht="17.25" customHeight="1">
      <c r="A465" s="2"/>
      <c r="B465" s="7"/>
      <c r="C465" s="7"/>
      <c r="D465" s="66"/>
      <c r="E465" s="439" t="s">
        <v>613</v>
      </c>
      <c r="F465" s="440"/>
      <c r="G465" s="440"/>
      <c r="H465" s="440"/>
      <c r="I465" s="440"/>
      <c r="J465" s="441" t="s">
        <v>619</v>
      </c>
      <c r="K465" s="441"/>
      <c r="L465" s="8">
        <v>4550</v>
      </c>
      <c r="M465" s="8"/>
      <c r="N465" s="8"/>
      <c r="O465" s="8"/>
      <c r="P465" s="52"/>
    </row>
    <row r="466" spans="1:17" ht="17.25" customHeight="1">
      <c r="A466" s="2"/>
      <c r="B466" s="7"/>
      <c r="C466" s="7"/>
      <c r="D466" s="66"/>
      <c r="E466" s="437" t="s">
        <v>621</v>
      </c>
      <c r="F466" s="438"/>
      <c r="G466" s="438"/>
      <c r="H466" s="438"/>
      <c r="I466" s="438"/>
      <c r="J466" s="438"/>
      <c r="K466" s="70"/>
      <c r="L466" s="8">
        <f>+L467</f>
        <v>4550</v>
      </c>
      <c r="M466" s="8"/>
      <c r="N466" s="8"/>
      <c r="O466" s="8"/>
      <c r="P466" s="52"/>
    </row>
    <row r="467" spans="1:17" ht="17.25" customHeight="1">
      <c r="A467" s="2"/>
      <c r="B467" s="7"/>
      <c r="C467" s="7"/>
      <c r="D467" s="66"/>
      <c r="E467" s="439" t="s">
        <v>450</v>
      </c>
      <c r="F467" s="440"/>
      <c r="G467" s="440"/>
      <c r="H467" s="440"/>
      <c r="I467" s="440"/>
      <c r="J467" s="447" t="s">
        <v>619</v>
      </c>
      <c r="K467" s="447"/>
      <c r="L467" s="8">
        <v>4550</v>
      </c>
      <c r="M467" s="8"/>
      <c r="N467" s="8"/>
      <c r="O467" s="8"/>
      <c r="P467" s="52"/>
    </row>
    <row r="468" spans="1:17" ht="17.25" customHeight="1">
      <c r="A468" s="2"/>
      <c r="B468" s="7"/>
      <c r="C468" s="7"/>
      <c r="D468" s="66"/>
      <c r="E468" s="439" t="s">
        <v>816</v>
      </c>
      <c r="F468" s="440"/>
      <c r="G468" s="440"/>
      <c r="H468" s="440"/>
      <c r="I468" s="440"/>
      <c r="J468" s="441" t="s">
        <v>815</v>
      </c>
      <c r="K468" s="441"/>
      <c r="L468" s="13">
        <v>1300</v>
      </c>
      <c r="M468" s="8"/>
      <c r="N468" s="8"/>
      <c r="O468" s="8"/>
      <c r="P468" s="52"/>
    </row>
    <row r="469" spans="1:17" ht="17.25" customHeight="1">
      <c r="A469" s="2"/>
      <c r="B469" s="7"/>
      <c r="C469" s="7"/>
      <c r="D469" s="66"/>
      <c r="E469" s="439" t="s">
        <v>820</v>
      </c>
      <c r="F469" s="440"/>
      <c r="G469" s="440"/>
      <c r="H469" s="440"/>
      <c r="I469" s="440"/>
      <c r="J469" s="441" t="s">
        <v>821</v>
      </c>
      <c r="K469" s="441"/>
      <c r="L469" s="13">
        <f>13*70</f>
        <v>910</v>
      </c>
      <c r="M469" s="8"/>
      <c r="N469" s="8"/>
      <c r="O469" s="8"/>
      <c r="P469" s="52"/>
    </row>
    <row r="470" spans="1:17" ht="17.25" customHeight="1">
      <c r="A470" s="3"/>
      <c r="B470" s="4" t="s">
        <v>8</v>
      </c>
      <c r="C470" s="4"/>
      <c r="D470" s="6"/>
      <c r="E470" s="435" t="s">
        <v>451</v>
      </c>
      <c r="F470" s="435"/>
      <c r="G470" s="435"/>
      <c r="H470" s="435"/>
      <c r="I470" s="435" t="s">
        <v>452</v>
      </c>
      <c r="J470" s="435"/>
      <c r="K470" s="435"/>
      <c r="L470" s="436"/>
      <c r="M470" s="5">
        <f>+L471</f>
        <v>55000</v>
      </c>
      <c r="N470" s="5">
        <v>55000</v>
      </c>
      <c r="O470" s="21">
        <f>+M470-N470</f>
        <v>0</v>
      </c>
      <c r="P470" s="52"/>
    </row>
    <row r="471" spans="1:17" s="55" customFormat="1" ht="17.25" customHeight="1">
      <c r="A471" s="53"/>
      <c r="B471" s="54"/>
      <c r="C471" s="54"/>
      <c r="D471" s="67"/>
      <c r="E471" s="442" t="s">
        <v>453</v>
      </c>
      <c r="F471" s="443"/>
      <c r="G471" s="443"/>
      <c r="H471" s="443"/>
      <c r="I471" s="443"/>
      <c r="J471" s="444" t="s">
        <v>454</v>
      </c>
      <c r="K471" s="444"/>
      <c r="L471" s="13">
        <v>55000</v>
      </c>
      <c r="M471" s="13"/>
      <c r="N471" s="13"/>
      <c r="O471" s="13"/>
      <c r="P471" s="78" t="s">
        <v>826</v>
      </c>
      <c r="Q471" s="79" t="s">
        <v>834</v>
      </c>
    </row>
    <row r="472" spans="1:17" ht="17.25" customHeight="1">
      <c r="A472" s="3"/>
      <c r="B472" s="4" t="s">
        <v>8</v>
      </c>
      <c r="C472" s="4"/>
      <c r="D472" s="6"/>
      <c r="E472" s="435" t="s">
        <v>455</v>
      </c>
      <c r="F472" s="435"/>
      <c r="G472" s="435"/>
      <c r="H472" s="435"/>
      <c r="I472" s="435" t="s">
        <v>456</v>
      </c>
      <c r="J472" s="435"/>
      <c r="K472" s="435"/>
      <c r="L472" s="436"/>
      <c r="M472" s="5">
        <f>+L473+L474+L475+L476+L477+L478+L479+L480+L482+L483+L487+L490</f>
        <v>552326</v>
      </c>
      <c r="N472" s="5">
        <v>619486</v>
      </c>
      <c r="O472" s="21">
        <f>+M472-N472</f>
        <v>-67160</v>
      </c>
      <c r="P472" s="52"/>
    </row>
    <row r="473" spans="1:17" ht="17.25" customHeight="1">
      <c r="A473" s="2"/>
      <c r="B473" s="7"/>
      <c r="C473" s="7"/>
      <c r="D473" s="66"/>
      <c r="E473" s="439" t="s">
        <v>457</v>
      </c>
      <c r="F473" s="440"/>
      <c r="G473" s="440"/>
      <c r="H473" s="440"/>
      <c r="I473" s="440"/>
      <c r="J473" s="441" t="s">
        <v>314</v>
      </c>
      <c r="K473" s="441"/>
      <c r="L473" s="8">
        <v>300</v>
      </c>
      <c r="M473" s="8"/>
      <c r="N473" s="8"/>
      <c r="O473" s="8"/>
      <c r="P473" s="52"/>
    </row>
    <row r="474" spans="1:17" ht="17.25" customHeight="1">
      <c r="A474" s="2"/>
      <c r="B474" s="7"/>
      <c r="C474" s="7"/>
      <c r="D474" s="66"/>
      <c r="E474" s="439" t="s">
        <v>458</v>
      </c>
      <c r="F474" s="440"/>
      <c r="G474" s="440"/>
      <c r="H474" s="440"/>
      <c r="I474" s="440"/>
      <c r="J474" s="441" t="s">
        <v>459</v>
      </c>
      <c r="K474" s="441"/>
      <c r="L474" s="8">
        <v>6000</v>
      </c>
      <c r="M474" s="8"/>
      <c r="N474" s="8"/>
      <c r="O474" s="8"/>
      <c r="P474" s="52"/>
    </row>
    <row r="475" spans="1:17" ht="17.25" customHeight="1">
      <c r="A475" s="2"/>
      <c r="B475" s="7"/>
      <c r="C475" s="7"/>
      <c r="D475" s="66"/>
      <c r="E475" s="439" t="s">
        <v>460</v>
      </c>
      <c r="F475" s="440"/>
      <c r="G475" s="440"/>
      <c r="H475" s="440"/>
      <c r="I475" s="440"/>
      <c r="J475" s="441" t="s">
        <v>461</v>
      </c>
      <c r="K475" s="441"/>
      <c r="L475" s="8">
        <f>12*50</f>
        <v>600</v>
      </c>
      <c r="M475" s="8"/>
      <c r="N475" s="8"/>
      <c r="O475" s="8"/>
      <c r="P475" s="52"/>
    </row>
    <row r="476" spans="1:17" ht="17.25" customHeight="1">
      <c r="A476" s="2"/>
      <c r="B476" s="7"/>
      <c r="C476" s="7"/>
      <c r="D476" s="66"/>
      <c r="E476" s="439" t="s">
        <v>462</v>
      </c>
      <c r="F476" s="440"/>
      <c r="G476" s="440"/>
      <c r="H476" s="440"/>
      <c r="I476" s="440"/>
      <c r="J476" s="441" t="s">
        <v>463</v>
      </c>
      <c r="K476" s="441"/>
      <c r="L476" s="8">
        <v>50</v>
      </c>
      <c r="M476" s="8"/>
      <c r="N476" s="8"/>
      <c r="O476" s="8"/>
      <c r="P476" s="52"/>
    </row>
    <row r="477" spans="1:17" ht="17.25" customHeight="1">
      <c r="A477" s="2"/>
      <c r="B477" s="7"/>
      <c r="C477" s="7"/>
      <c r="D477" s="66"/>
      <c r="E477" s="439" t="s">
        <v>464</v>
      </c>
      <c r="F477" s="440"/>
      <c r="G477" s="440"/>
      <c r="H477" s="440"/>
      <c r="I477" s="440"/>
      <c r="J477" s="441" t="s">
        <v>465</v>
      </c>
      <c r="K477" s="441"/>
      <c r="L477" s="8">
        <v>43200</v>
      </c>
      <c r="M477" s="8"/>
      <c r="N477" s="8"/>
      <c r="O477" s="8"/>
      <c r="P477" s="52"/>
    </row>
    <row r="478" spans="1:17" ht="17.25" customHeight="1">
      <c r="A478" s="2"/>
      <c r="B478" s="7"/>
      <c r="C478" s="7"/>
      <c r="D478" s="66"/>
      <c r="E478" s="439" t="s">
        <v>466</v>
      </c>
      <c r="F478" s="440"/>
      <c r="G478" s="440"/>
      <c r="H478" s="440"/>
      <c r="I478" s="440"/>
      <c r="J478" s="441" t="s">
        <v>467</v>
      </c>
      <c r="K478" s="441"/>
      <c r="L478" s="8">
        <v>14000</v>
      </c>
      <c r="M478" s="8"/>
      <c r="N478" s="8"/>
      <c r="O478" s="8"/>
      <c r="P478" s="52"/>
    </row>
    <row r="479" spans="1:17" ht="17.25" customHeight="1">
      <c r="A479" s="2"/>
      <c r="B479" s="7"/>
      <c r="C479" s="7"/>
      <c r="D479" s="66"/>
      <c r="E479" s="439" t="s">
        <v>468</v>
      </c>
      <c r="F479" s="440"/>
      <c r="G479" s="440"/>
      <c r="H479" s="440"/>
      <c r="I479" s="440"/>
      <c r="J479" s="441" t="s">
        <v>469</v>
      </c>
      <c r="K479" s="441"/>
      <c r="L479" s="8">
        <v>4000</v>
      </c>
      <c r="M479" s="8"/>
      <c r="N479" s="8"/>
      <c r="O479" s="8"/>
      <c r="P479" s="52"/>
    </row>
    <row r="480" spans="1:17" ht="17.25" customHeight="1">
      <c r="A480" s="2"/>
      <c r="B480" s="7"/>
      <c r="C480" s="7"/>
      <c r="D480" s="66"/>
      <c r="E480" s="439" t="s">
        <v>470</v>
      </c>
      <c r="F480" s="440"/>
      <c r="G480" s="440"/>
      <c r="H480" s="440"/>
      <c r="I480" s="440"/>
      <c r="J480" s="441" t="s">
        <v>471</v>
      </c>
      <c r="K480" s="441"/>
      <c r="L480" s="8">
        <v>26736</v>
      </c>
      <c r="M480" s="8"/>
      <c r="N480" s="8"/>
      <c r="O480" s="8"/>
      <c r="P480" s="52"/>
    </row>
    <row r="481" spans="1:17" ht="17.25" customHeight="1">
      <c r="A481" s="2"/>
      <c r="B481" s="7"/>
      <c r="C481" s="7"/>
      <c r="D481" s="66"/>
      <c r="E481" s="439" t="s">
        <v>472</v>
      </c>
      <c r="F481" s="440"/>
      <c r="G481" s="440"/>
      <c r="H481" s="440"/>
      <c r="I481" s="440"/>
      <c r="J481" s="441"/>
      <c r="K481" s="441"/>
      <c r="L481" s="8"/>
      <c r="M481" s="8"/>
      <c r="N481" s="8"/>
      <c r="O481" s="8"/>
      <c r="P481" s="52"/>
    </row>
    <row r="482" spans="1:17" ht="17.25" customHeight="1">
      <c r="A482" s="2"/>
      <c r="B482" s="7"/>
      <c r="C482" s="7"/>
      <c r="D482" s="66"/>
      <c r="E482" s="439" t="s">
        <v>474</v>
      </c>
      <c r="F482" s="440"/>
      <c r="G482" s="440"/>
      <c r="H482" s="440"/>
      <c r="I482" s="440"/>
      <c r="J482" s="441" t="s">
        <v>475</v>
      </c>
      <c r="K482" s="441"/>
      <c r="L482" s="8">
        <f>112500*4</f>
        <v>450000</v>
      </c>
      <c r="M482" s="8"/>
      <c r="N482" s="8"/>
      <c r="O482" s="8"/>
      <c r="P482" s="52"/>
    </row>
    <row r="483" spans="1:17" ht="17.25" customHeight="1">
      <c r="A483" s="2"/>
      <c r="B483" s="7"/>
      <c r="C483" s="7"/>
      <c r="D483" s="66"/>
      <c r="E483" s="439" t="s">
        <v>476</v>
      </c>
      <c r="F483" s="440"/>
      <c r="G483" s="440"/>
      <c r="H483" s="440"/>
      <c r="I483" s="440"/>
      <c r="J483" s="440"/>
      <c r="K483" s="30"/>
      <c r="L483" s="8">
        <f>+L484+L485+L486</f>
        <v>6900</v>
      </c>
      <c r="M483" s="8"/>
      <c r="N483" s="8"/>
      <c r="O483" s="8"/>
      <c r="P483" s="52"/>
    </row>
    <row r="484" spans="1:17" ht="17.25" customHeight="1">
      <c r="A484" s="2"/>
      <c r="B484" s="7"/>
      <c r="C484" s="7"/>
      <c r="D484" s="66"/>
      <c r="E484" s="439" t="s">
        <v>633</v>
      </c>
      <c r="F484" s="440"/>
      <c r="G484" s="440"/>
      <c r="H484" s="440"/>
      <c r="I484" s="440"/>
      <c r="J484" s="441" t="s">
        <v>477</v>
      </c>
      <c r="K484" s="441"/>
      <c r="L484" s="8">
        <v>1200</v>
      </c>
      <c r="M484" s="8"/>
      <c r="N484" s="8"/>
      <c r="O484" s="8"/>
      <c r="P484" s="52"/>
    </row>
    <row r="485" spans="1:17" ht="17.25" customHeight="1">
      <c r="A485" s="2"/>
      <c r="B485" s="7"/>
      <c r="C485" s="7"/>
      <c r="D485" s="66"/>
      <c r="E485" s="439" t="s">
        <v>478</v>
      </c>
      <c r="F485" s="440"/>
      <c r="G485" s="440"/>
      <c r="H485" s="440"/>
      <c r="I485" s="440"/>
      <c r="J485" s="441" t="s">
        <v>479</v>
      </c>
      <c r="K485" s="441"/>
      <c r="L485" s="8">
        <f>2200+1500</f>
        <v>3700</v>
      </c>
      <c r="M485" s="8"/>
      <c r="N485" s="8"/>
      <c r="O485" s="8"/>
      <c r="P485" s="52"/>
    </row>
    <row r="486" spans="1:17" s="25" customFormat="1" ht="17.25" customHeight="1">
      <c r="A486" s="17"/>
      <c r="B486" s="18"/>
      <c r="C486" s="18"/>
      <c r="D486" s="68"/>
      <c r="E486" s="445" t="s">
        <v>480</v>
      </c>
      <c r="F486" s="446"/>
      <c r="G486" s="446"/>
      <c r="H486" s="446"/>
      <c r="I486" s="446"/>
      <c r="J486" s="447" t="s">
        <v>481</v>
      </c>
      <c r="K486" s="447"/>
      <c r="L486" s="19">
        <v>2000</v>
      </c>
      <c r="M486" s="19"/>
      <c r="N486" s="19"/>
      <c r="O486" s="19"/>
      <c r="P486" s="80" t="s">
        <v>822</v>
      </c>
      <c r="Q486" s="33"/>
    </row>
    <row r="487" spans="1:17" ht="17.25" customHeight="1">
      <c r="A487" s="2"/>
      <c r="B487" s="7"/>
      <c r="C487" s="7"/>
      <c r="D487" s="66"/>
      <c r="E487" s="439" t="s">
        <v>482</v>
      </c>
      <c r="F487" s="440"/>
      <c r="G487" s="440"/>
      <c r="H487" s="440"/>
      <c r="I487" s="440"/>
      <c r="J487" s="440"/>
      <c r="K487" s="30"/>
      <c r="L487" s="8">
        <f>+L488+L489</f>
        <v>340</v>
      </c>
      <c r="M487" s="8"/>
      <c r="N487" s="8"/>
      <c r="O487" s="8"/>
      <c r="P487" s="52"/>
    </row>
    <row r="488" spans="1:17" ht="17.25" customHeight="1">
      <c r="A488" s="2"/>
      <c r="B488" s="7"/>
      <c r="C488" s="7"/>
      <c r="D488" s="66"/>
      <c r="E488" s="439" t="s">
        <v>633</v>
      </c>
      <c r="F488" s="440"/>
      <c r="G488" s="440"/>
      <c r="H488" s="440"/>
      <c r="I488" s="440"/>
      <c r="J488" s="441" t="s">
        <v>483</v>
      </c>
      <c r="K488" s="441"/>
      <c r="L488" s="8">
        <v>140</v>
      </c>
      <c r="M488" s="8"/>
      <c r="N488" s="8"/>
      <c r="O488" s="8"/>
      <c r="P488" s="52"/>
    </row>
    <row r="489" spans="1:17" ht="17.25" customHeight="1">
      <c r="A489" s="2"/>
      <c r="B489" s="7"/>
      <c r="C489" s="7"/>
      <c r="D489" s="66"/>
      <c r="E489" s="439" t="s">
        <v>634</v>
      </c>
      <c r="F489" s="440"/>
      <c r="G489" s="440"/>
      <c r="H489" s="440"/>
      <c r="I489" s="440"/>
      <c r="J489" s="441" t="s">
        <v>484</v>
      </c>
      <c r="K489" s="441"/>
      <c r="L489" s="8">
        <v>200</v>
      </c>
      <c r="M489" s="8"/>
      <c r="N489" s="8"/>
      <c r="O489" s="8"/>
      <c r="P489" s="52"/>
    </row>
    <row r="490" spans="1:17" ht="17.25" customHeight="1">
      <c r="A490" s="2"/>
      <c r="B490" s="7"/>
      <c r="C490" s="7"/>
      <c r="D490" s="66"/>
      <c r="E490" s="439" t="s">
        <v>485</v>
      </c>
      <c r="F490" s="440"/>
      <c r="G490" s="440"/>
      <c r="H490" s="440"/>
      <c r="I490" s="440"/>
      <c r="J490" s="440"/>
      <c r="K490" s="30"/>
      <c r="L490" s="8">
        <f>+L491+L492</f>
        <v>200</v>
      </c>
      <c r="M490" s="8"/>
      <c r="N490" s="8"/>
      <c r="O490" s="8"/>
      <c r="P490" s="52"/>
    </row>
    <row r="491" spans="1:17" ht="17.25" customHeight="1">
      <c r="A491" s="2"/>
      <c r="B491" s="7"/>
      <c r="C491" s="7"/>
      <c r="D491" s="66"/>
      <c r="E491" s="439" t="s">
        <v>623</v>
      </c>
      <c r="F491" s="440"/>
      <c r="G491" s="440"/>
      <c r="H491" s="440"/>
      <c r="I491" s="440"/>
      <c r="J491" s="441" t="s">
        <v>624</v>
      </c>
      <c r="K491" s="441"/>
      <c r="L491" s="8">
        <v>50</v>
      </c>
      <c r="M491" s="8"/>
      <c r="N491" s="8"/>
      <c r="O491" s="8"/>
      <c r="P491" s="52"/>
    </row>
    <row r="492" spans="1:17" ht="17.25" customHeight="1">
      <c r="A492" s="2"/>
      <c r="B492" s="7"/>
      <c r="C492" s="7"/>
      <c r="D492" s="66"/>
      <c r="E492" s="439" t="s">
        <v>625</v>
      </c>
      <c r="F492" s="440"/>
      <c r="G492" s="440"/>
      <c r="H492" s="440"/>
      <c r="I492" s="440"/>
      <c r="J492" s="441" t="s">
        <v>626</v>
      </c>
      <c r="K492" s="441"/>
      <c r="L492" s="8">
        <v>150</v>
      </c>
      <c r="M492" s="8"/>
      <c r="N492" s="8"/>
      <c r="O492" s="8"/>
      <c r="P492" s="52"/>
    </row>
    <row r="493" spans="1:17" ht="7.5" customHeight="1">
      <c r="A493" s="2"/>
      <c r="B493" s="7"/>
      <c r="C493" s="7"/>
      <c r="D493" s="66"/>
      <c r="E493" s="439"/>
      <c r="F493" s="440"/>
      <c r="G493" s="440"/>
      <c r="H493" s="440"/>
      <c r="I493" s="440"/>
      <c r="J493" s="441"/>
      <c r="K493" s="441"/>
      <c r="L493" s="8"/>
      <c r="M493" s="8"/>
      <c r="N493" s="8"/>
      <c r="O493" s="8"/>
      <c r="P493" s="52"/>
    </row>
    <row r="494" spans="1:17" ht="17.25" customHeight="1">
      <c r="A494" s="3"/>
      <c r="B494" s="4" t="s">
        <v>8</v>
      </c>
      <c r="C494" s="4"/>
      <c r="D494" s="6"/>
      <c r="E494" s="458" t="s">
        <v>487</v>
      </c>
      <c r="F494" s="435"/>
      <c r="G494" s="435"/>
      <c r="H494" s="435"/>
      <c r="I494" s="435" t="s">
        <v>488</v>
      </c>
      <c r="J494" s="435"/>
      <c r="K494" s="435"/>
      <c r="L494" s="436"/>
      <c r="M494" s="9">
        <f>+L495</f>
        <v>6000</v>
      </c>
      <c r="N494" s="9">
        <v>0</v>
      </c>
      <c r="O494" s="9">
        <f>+M494-N494</f>
        <v>6000</v>
      </c>
      <c r="P494" s="52"/>
    </row>
    <row r="495" spans="1:17" ht="17.25" customHeight="1">
      <c r="A495" s="2"/>
      <c r="B495" s="7"/>
      <c r="C495" s="7"/>
      <c r="D495" s="66"/>
      <c r="E495" s="439" t="s">
        <v>489</v>
      </c>
      <c r="F495" s="440"/>
      <c r="G495" s="440"/>
      <c r="H495" s="440"/>
      <c r="I495" s="440"/>
      <c r="J495" s="440"/>
      <c r="K495" s="30"/>
      <c r="L495" s="8">
        <f>+L496+L497</f>
        <v>6000</v>
      </c>
      <c r="M495" s="8"/>
      <c r="N495" s="8"/>
      <c r="O495" s="8"/>
      <c r="P495" s="52"/>
    </row>
    <row r="496" spans="1:17" ht="17.25" customHeight="1">
      <c r="A496" s="2"/>
      <c r="B496" s="7"/>
      <c r="C496" s="7"/>
      <c r="D496" s="66"/>
      <c r="E496" s="439" t="s">
        <v>490</v>
      </c>
      <c r="F496" s="440"/>
      <c r="G496" s="440"/>
      <c r="H496" s="440"/>
      <c r="I496" s="440"/>
      <c r="J496" s="441" t="s">
        <v>608</v>
      </c>
      <c r="K496" s="441"/>
      <c r="L496" s="8">
        <v>2000</v>
      </c>
      <c r="M496" s="8"/>
      <c r="N496" s="8"/>
      <c r="O496" s="8"/>
      <c r="P496" s="52"/>
    </row>
    <row r="497" spans="1:16" ht="17.25" customHeight="1">
      <c r="A497" s="2"/>
      <c r="B497" s="7"/>
      <c r="C497" s="7"/>
      <c r="D497" s="66"/>
      <c r="E497" s="439" t="s">
        <v>486</v>
      </c>
      <c r="F497" s="440"/>
      <c r="G497" s="440"/>
      <c r="H497" s="440"/>
      <c r="I497" s="440"/>
      <c r="J497" s="441" t="s">
        <v>491</v>
      </c>
      <c r="K497" s="441"/>
      <c r="L497" s="8">
        <v>4000</v>
      </c>
      <c r="M497" s="8"/>
      <c r="N497" s="8"/>
      <c r="O497" s="8"/>
      <c r="P497" s="52"/>
    </row>
    <row r="498" spans="1:16" ht="17.25" customHeight="1">
      <c r="A498" s="3"/>
      <c r="B498" s="4" t="s">
        <v>8</v>
      </c>
      <c r="C498" s="4"/>
      <c r="D498" s="405" t="s">
        <v>492</v>
      </c>
      <c r="E498" s="405"/>
      <c r="F498" s="405"/>
      <c r="G498" s="405"/>
      <c r="H498" s="405" t="s">
        <v>493</v>
      </c>
      <c r="I498" s="405"/>
      <c r="J498" s="405"/>
      <c r="K498" s="405"/>
      <c r="L498" s="406"/>
      <c r="M498" s="1">
        <f>+M499+M507</f>
        <v>53968</v>
      </c>
      <c r="N498" s="1">
        <f>+N499+N507</f>
        <v>38884</v>
      </c>
      <c r="O498" s="1">
        <f>+O499+O507</f>
        <v>15084</v>
      </c>
      <c r="P498" s="52"/>
    </row>
    <row r="499" spans="1:16" ht="17.25" customHeight="1">
      <c r="A499" s="3"/>
      <c r="B499" s="4" t="s">
        <v>8</v>
      </c>
      <c r="C499" s="4"/>
      <c r="D499" s="6"/>
      <c r="E499" s="435" t="s">
        <v>15</v>
      </c>
      <c r="F499" s="435"/>
      <c r="G499" s="435"/>
      <c r="H499" s="435"/>
      <c r="I499" s="435" t="s">
        <v>494</v>
      </c>
      <c r="J499" s="435"/>
      <c r="K499" s="435"/>
      <c r="L499" s="436"/>
      <c r="M499" s="5">
        <f>+L500+L503+L506</f>
        <v>15968</v>
      </c>
      <c r="N499" s="5">
        <v>10884</v>
      </c>
      <c r="O499" s="21">
        <f>+M499-N499</f>
        <v>5084</v>
      </c>
      <c r="P499" s="52"/>
    </row>
    <row r="500" spans="1:16" ht="17.25" customHeight="1">
      <c r="A500" s="2"/>
      <c r="B500" s="7"/>
      <c r="C500" s="7"/>
      <c r="D500" s="66"/>
      <c r="E500" s="437" t="s">
        <v>495</v>
      </c>
      <c r="F500" s="438"/>
      <c r="G500" s="438"/>
      <c r="H500" s="438"/>
      <c r="I500" s="438"/>
      <c r="J500" s="438"/>
      <c r="K500" s="70"/>
      <c r="L500" s="8">
        <f>+L501+L502</f>
        <v>3984</v>
      </c>
      <c r="M500" s="8"/>
      <c r="N500" s="8"/>
      <c r="O500" s="8"/>
      <c r="P500" s="52"/>
    </row>
    <row r="501" spans="1:16" ht="17.25" customHeight="1">
      <c r="A501" s="2"/>
      <c r="B501" s="7"/>
      <c r="C501" s="7"/>
      <c r="D501" s="66"/>
      <c r="E501" s="439" t="s">
        <v>385</v>
      </c>
      <c r="F501" s="440"/>
      <c r="G501" s="440"/>
      <c r="H501" s="440"/>
      <c r="I501" s="440"/>
      <c r="J501" s="441" t="s">
        <v>628</v>
      </c>
      <c r="K501" s="441"/>
      <c r="L501" s="8">
        <v>2976</v>
      </c>
      <c r="M501" s="8"/>
      <c r="N501" s="8"/>
      <c r="O501" s="8"/>
      <c r="P501" s="52"/>
    </row>
    <row r="502" spans="1:16" ht="17.25" customHeight="1">
      <c r="A502" s="2"/>
      <c r="B502" s="7"/>
      <c r="C502" s="7"/>
      <c r="D502" s="66"/>
      <c r="E502" s="439" t="s">
        <v>386</v>
      </c>
      <c r="F502" s="440"/>
      <c r="G502" s="440"/>
      <c r="H502" s="440"/>
      <c r="I502" s="440"/>
      <c r="J502" s="441" t="s">
        <v>629</v>
      </c>
      <c r="K502" s="441"/>
      <c r="L502" s="8">
        <v>1008</v>
      </c>
      <c r="M502" s="8"/>
      <c r="N502" s="8"/>
      <c r="O502" s="8"/>
      <c r="P502" s="52"/>
    </row>
    <row r="503" spans="1:16" ht="17.25" customHeight="1">
      <c r="A503" s="2"/>
      <c r="B503" s="7"/>
      <c r="C503" s="7"/>
      <c r="D503" s="66"/>
      <c r="E503" s="437" t="s">
        <v>496</v>
      </c>
      <c r="F503" s="438"/>
      <c r="G503" s="438"/>
      <c r="H503" s="438"/>
      <c r="I503" s="438"/>
      <c r="J503" s="438"/>
      <c r="K503" s="70"/>
      <c r="L503" s="8">
        <f>+L504+L505</f>
        <v>3984</v>
      </c>
      <c r="M503" s="8"/>
      <c r="N503" s="8"/>
      <c r="O503" s="8"/>
      <c r="P503" s="52"/>
    </row>
    <row r="504" spans="1:16" ht="17.25" customHeight="1">
      <c r="A504" s="2"/>
      <c r="B504" s="7"/>
      <c r="C504" s="7"/>
      <c r="D504" s="66"/>
      <c r="E504" s="439" t="s">
        <v>385</v>
      </c>
      <c r="F504" s="440"/>
      <c r="G504" s="440"/>
      <c r="H504" s="440"/>
      <c r="I504" s="440"/>
      <c r="J504" s="441" t="s">
        <v>628</v>
      </c>
      <c r="K504" s="441"/>
      <c r="L504" s="8">
        <v>2976</v>
      </c>
      <c r="M504" s="8"/>
      <c r="N504" s="8"/>
      <c r="O504" s="8"/>
      <c r="P504" s="52"/>
    </row>
    <row r="505" spans="1:16" ht="17.25" customHeight="1">
      <c r="A505" s="2"/>
      <c r="B505" s="7"/>
      <c r="C505" s="7"/>
      <c r="D505" s="66"/>
      <c r="E505" s="439" t="s">
        <v>386</v>
      </c>
      <c r="F505" s="440"/>
      <c r="G505" s="440"/>
      <c r="H505" s="440"/>
      <c r="I505" s="440"/>
      <c r="J505" s="441" t="s">
        <v>629</v>
      </c>
      <c r="K505" s="441"/>
      <c r="L505" s="8">
        <v>1008</v>
      </c>
      <c r="M505" s="8"/>
      <c r="N505" s="8"/>
      <c r="O505" s="8"/>
      <c r="P505" s="52"/>
    </row>
    <row r="506" spans="1:16" ht="17.25" customHeight="1">
      <c r="A506" s="2"/>
      <c r="B506" s="7"/>
      <c r="C506" s="7"/>
      <c r="D506" s="66"/>
      <c r="E506" s="459" t="s">
        <v>497</v>
      </c>
      <c r="F506" s="460"/>
      <c r="G506" s="460"/>
      <c r="H506" s="460"/>
      <c r="I506" s="460"/>
      <c r="J506" s="461" t="s">
        <v>498</v>
      </c>
      <c r="K506" s="461"/>
      <c r="L506" s="8">
        <v>8000</v>
      </c>
      <c r="M506" s="8"/>
      <c r="N506" s="8"/>
      <c r="O506" s="8"/>
      <c r="P506" s="52"/>
    </row>
    <row r="507" spans="1:16" ht="17.25" customHeight="1">
      <c r="A507" s="3"/>
      <c r="B507" s="4" t="s">
        <v>8</v>
      </c>
      <c r="C507" s="4"/>
      <c r="D507" s="6"/>
      <c r="E507" s="435" t="s">
        <v>114</v>
      </c>
      <c r="F507" s="435"/>
      <c r="G507" s="435"/>
      <c r="H507" s="435"/>
      <c r="I507" s="435" t="s">
        <v>499</v>
      </c>
      <c r="J507" s="435"/>
      <c r="K507" s="435"/>
      <c r="L507" s="436"/>
      <c r="M507" s="5">
        <f>+L508+L509</f>
        <v>38000</v>
      </c>
      <c r="N507" s="5">
        <v>28000</v>
      </c>
      <c r="O507" s="21">
        <f>+M507-N507</f>
        <v>10000</v>
      </c>
      <c r="P507" s="52"/>
    </row>
    <row r="508" spans="1:16" ht="17.25" customHeight="1">
      <c r="A508" s="2"/>
      <c r="B508" s="7"/>
      <c r="C508" s="7"/>
      <c r="D508" s="66"/>
      <c r="E508" s="439" t="s">
        <v>500</v>
      </c>
      <c r="F508" s="440"/>
      <c r="G508" s="440"/>
      <c r="H508" s="440"/>
      <c r="I508" s="440"/>
      <c r="J508" s="441" t="s">
        <v>501</v>
      </c>
      <c r="K508" s="441"/>
      <c r="L508" s="8">
        <v>8000</v>
      </c>
      <c r="M508" s="8"/>
      <c r="N508" s="8"/>
      <c r="O508" s="8"/>
      <c r="P508" s="52"/>
    </row>
    <row r="509" spans="1:16" ht="17.25" customHeight="1">
      <c r="A509" s="2"/>
      <c r="B509" s="7"/>
      <c r="C509" s="7"/>
      <c r="D509" s="66"/>
      <c r="E509" s="439" t="s">
        <v>502</v>
      </c>
      <c r="F509" s="440"/>
      <c r="G509" s="440"/>
      <c r="H509" s="440"/>
      <c r="I509" s="440"/>
      <c r="J509" s="441" t="s">
        <v>837</v>
      </c>
      <c r="K509" s="441"/>
      <c r="L509" s="8">
        <v>30000</v>
      </c>
      <c r="M509" s="8"/>
      <c r="N509" s="8"/>
      <c r="O509" s="8"/>
      <c r="P509" s="52"/>
    </row>
    <row r="510" spans="1:16" ht="17.25" customHeight="1">
      <c r="A510" s="3"/>
      <c r="B510" s="4" t="s">
        <v>8</v>
      </c>
      <c r="C510" s="4"/>
      <c r="D510" s="405" t="s">
        <v>503</v>
      </c>
      <c r="E510" s="405"/>
      <c r="F510" s="405"/>
      <c r="G510" s="405"/>
      <c r="H510" s="405" t="s">
        <v>504</v>
      </c>
      <c r="I510" s="405"/>
      <c r="J510" s="405"/>
      <c r="K510" s="405"/>
      <c r="L510" s="406"/>
      <c r="M510" s="1">
        <f>+M511</f>
        <v>22500</v>
      </c>
      <c r="N510" s="1">
        <f>+N511</f>
        <v>22500</v>
      </c>
      <c r="O510" s="1">
        <f>+O511</f>
        <v>0</v>
      </c>
      <c r="P510" s="52"/>
    </row>
    <row r="511" spans="1:16" ht="17.25" customHeight="1">
      <c r="A511" s="3"/>
      <c r="B511" s="4" t="s">
        <v>8</v>
      </c>
      <c r="C511" s="4"/>
      <c r="D511" s="6"/>
      <c r="E511" s="435" t="s">
        <v>505</v>
      </c>
      <c r="F511" s="435"/>
      <c r="G511" s="435"/>
      <c r="H511" s="435"/>
      <c r="I511" s="435" t="s">
        <v>506</v>
      </c>
      <c r="J511" s="435"/>
      <c r="K511" s="435"/>
      <c r="L511" s="436"/>
      <c r="M511" s="5">
        <f>+L512</f>
        <v>22500</v>
      </c>
      <c r="N511" s="5">
        <v>22500</v>
      </c>
      <c r="O511" s="21">
        <f>+M511-N511</f>
        <v>0</v>
      </c>
      <c r="P511" s="52"/>
    </row>
    <row r="512" spans="1:16" ht="17.25" customHeight="1">
      <c r="A512" s="2"/>
      <c r="B512" s="7"/>
      <c r="C512" s="7"/>
      <c r="D512" s="66"/>
      <c r="E512" s="439" t="s">
        <v>507</v>
      </c>
      <c r="F512" s="440"/>
      <c r="G512" s="440"/>
      <c r="H512" s="440"/>
      <c r="I512" s="440"/>
      <c r="J512" s="441" t="s">
        <v>508</v>
      </c>
      <c r="K512" s="441"/>
      <c r="L512" s="8">
        <v>22500</v>
      </c>
      <c r="M512" s="8"/>
      <c r="N512" s="8"/>
      <c r="O512" s="8"/>
      <c r="P512" s="52"/>
    </row>
    <row r="513" spans="1:16" ht="17.25" customHeight="1">
      <c r="A513" s="3"/>
      <c r="B513" s="4" t="s">
        <v>8</v>
      </c>
      <c r="C513" s="4"/>
      <c r="D513" s="405" t="s">
        <v>509</v>
      </c>
      <c r="E513" s="405"/>
      <c r="F513" s="405"/>
      <c r="G513" s="405"/>
      <c r="H513" s="405" t="s">
        <v>510</v>
      </c>
      <c r="I513" s="405"/>
      <c r="J513" s="405"/>
      <c r="K513" s="405"/>
      <c r="L513" s="406"/>
      <c r="M513" s="1">
        <f>+M514</f>
        <v>0</v>
      </c>
      <c r="N513" s="1">
        <f>+N514</f>
        <v>216480</v>
      </c>
      <c r="O513" s="1">
        <f>+O514</f>
        <v>-216480</v>
      </c>
      <c r="P513" s="52"/>
    </row>
    <row r="514" spans="1:16" ht="17.25" customHeight="1">
      <c r="A514" s="3"/>
      <c r="B514" s="4" t="s">
        <v>8</v>
      </c>
      <c r="C514" s="4"/>
      <c r="D514" s="6"/>
      <c r="E514" s="435" t="s">
        <v>182</v>
      </c>
      <c r="F514" s="435"/>
      <c r="G514" s="435"/>
      <c r="H514" s="435"/>
      <c r="I514" s="435" t="s">
        <v>511</v>
      </c>
      <c r="J514" s="435"/>
      <c r="K514" s="435"/>
      <c r="L514" s="436"/>
      <c r="M514" s="5">
        <v>0</v>
      </c>
      <c r="N514" s="5">
        <v>216480</v>
      </c>
      <c r="O514" s="21">
        <f>+M514-N514</f>
        <v>-216480</v>
      </c>
      <c r="P514" s="52"/>
    </row>
    <row r="515" spans="1:16" ht="17.25" customHeight="1">
      <c r="A515" s="3"/>
      <c r="B515" s="4" t="s">
        <v>8</v>
      </c>
      <c r="C515" s="4"/>
      <c r="D515" s="405" t="s">
        <v>522</v>
      </c>
      <c r="E515" s="405"/>
      <c r="F515" s="405"/>
      <c r="G515" s="405"/>
      <c r="H515" s="405" t="s">
        <v>523</v>
      </c>
      <c r="I515" s="405"/>
      <c r="J515" s="405"/>
      <c r="K515" s="405"/>
      <c r="L515" s="406"/>
      <c r="M515" s="1">
        <f>+M516</f>
        <v>63991</v>
      </c>
      <c r="N515" s="1">
        <f>+N516</f>
        <v>55561</v>
      </c>
      <c r="O515" s="1">
        <f>+O516</f>
        <v>8430</v>
      </c>
      <c r="P515" s="52"/>
    </row>
    <row r="516" spans="1:16" ht="17.25" customHeight="1">
      <c r="A516" s="3"/>
      <c r="B516" s="4" t="s">
        <v>8</v>
      </c>
      <c r="C516" s="4"/>
      <c r="D516" s="6"/>
      <c r="E516" s="435" t="s">
        <v>524</v>
      </c>
      <c r="F516" s="435"/>
      <c r="G516" s="435"/>
      <c r="H516" s="435"/>
      <c r="I516" s="435" t="s">
        <v>525</v>
      </c>
      <c r="J516" s="435"/>
      <c r="K516" s="435"/>
      <c r="L516" s="436"/>
      <c r="M516" s="5">
        <f>+L517+L524</f>
        <v>63991</v>
      </c>
      <c r="N516" s="5">
        <v>55561</v>
      </c>
      <c r="O516" s="21">
        <f>+M516-N516</f>
        <v>8430</v>
      </c>
      <c r="P516" s="52"/>
    </row>
    <row r="517" spans="1:16" ht="17.25" customHeight="1">
      <c r="A517" s="2"/>
      <c r="B517" s="7"/>
      <c r="C517" s="7"/>
      <c r="D517" s="66"/>
      <c r="E517" s="437" t="s">
        <v>526</v>
      </c>
      <c r="F517" s="438"/>
      <c r="G517" s="438"/>
      <c r="H517" s="438"/>
      <c r="I517" s="438"/>
      <c r="J517" s="438"/>
      <c r="K517" s="70"/>
      <c r="L517" s="8">
        <f>+SUM(L518:L523)</f>
        <v>62491</v>
      </c>
      <c r="M517" s="8"/>
      <c r="N517" s="8"/>
      <c r="O517" s="8"/>
      <c r="P517" s="52"/>
    </row>
    <row r="518" spans="1:16" ht="17.25" customHeight="1">
      <c r="A518" s="2"/>
      <c r="B518" s="7"/>
      <c r="C518" s="7"/>
      <c r="D518" s="66"/>
      <c r="E518" s="439" t="s">
        <v>527</v>
      </c>
      <c r="F518" s="440"/>
      <c r="G518" s="440"/>
      <c r="H518" s="440"/>
      <c r="I518" s="440"/>
      <c r="J518" s="441" t="s">
        <v>528</v>
      </c>
      <c r="K518" s="441"/>
      <c r="L518" s="8">
        <v>14700</v>
      </c>
      <c r="M518" s="8"/>
      <c r="N518" s="8"/>
      <c r="O518" s="8"/>
      <c r="P518" s="52"/>
    </row>
    <row r="519" spans="1:16" ht="17.25" customHeight="1">
      <c r="A519" s="2"/>
      <c r="B519" s="7"/>
      <c r="C519" s="7"/>
      <c r="D519" s="66"/>
      <c r="E519" s="439" t="s">
        <v>529</v>
      </c>
      <c r="F519" s="440"/>
      <c r="G519" s="440"/>
      <c r="H519" s="440"/>
      <c r="I519" s="440"/>
      <c r="J519" s="441" t="s">
        <v>530</v>
      </c>
      <c r="K519" s="441"/>
      <c r="L519" s="8">
        <v>2400</v>
      </c>
      <c r="M519" s="8"/>
      <c r="N519" s="8"/>
      <c r="O519" s="8"/>
      <c r="P519" s="52"/>
    </row>
    <row r="520" spans="1:16" ht="17.25" customHeight="1">
      <c r="A520" s="2"/>
      <c r="B520" s="7"/>
      <c r="C520" s="7"/>
      <c r="D520" s="66"/>
      <c r="E520" s="439" t="s">
        <v>531</v>
      </c>
      <c r="F520" s="440"/>
      <c r="G520" s="440"/>
      <c r="H520" s="440"/>
      <c r="I520" s="440"/>
      <c r="J520" s="441" t="s">
        <v>201</v>
      </c>
      <c r="K520" s="441"/>
      <c r="L520" s="8">
        <v>500</v>
      </c>
      <c r="M520" s="8"/>
      <c r="N520" s="8"/>
      <c r="O520" s="8"/>
      <c r="P520" s="52"/>
    </row>
    <row r="521" spans="1:16" ht="17.25" customHeight="1">
      <c r="A521" s="2"/>
      <c r="B521" s="7"/>
      <c r="C521" s="7"/>
      <c r="D521" s="66"/>
      <c r="E521" s="439" t="s">
        <v>532</v>
      </c>
      <c r="F521" s="440"/>
      <c r="G521" s="440"/>
      <c r="H521" s="440"/>
      <c r="I521" s="440"/>
      <c r="J521" s="441" t="s">
        <v>533</v>
      </c>
      <c r="K521" s="441"/>
      <c r="L521" s="8">
        <v>37391</v>
      </c>
      <c r="M521" s="8"/>
      <c r="N521" s="8"/>
      <c r="O521" s="8"/>
      <c r="P521" s="52"/>
    </row>
    <row r="522" spans="1:16" ht="17.25" customHeight="1">
      <c r="A522" s="2"/>
      <c r="B522" s="7"/>
      <c r="C522" s="7"/>
      <c r="D522" s="66"/>
      <c r="E522" s="439" t="s">
        <v>534</v>
      </c>
      <c r="F522" s="440"/>
      <c r="G522" s="440"/>
      <c r="H522" s="440"/>
      <c r="I522" s="440"/>
      <c r="J522" s="441" t="s">
        <v>440</v>
      </c>
      <c r="K522" s="441"/>
      <c r="L522" s="8">
        <v>2000</v>
      </c>
      <c r="M522" s="8"/>
      <c r="N522" s="8"/>
      <c r="O522" s="8"/>
      <c r="P522" s="52"/>
    </row>
    <row r="523" spans="1:16" ht="17.25" customHeight="1">
      <c r="A523" s="2"/>
      <c r="B523" s="7"/>
      <c r="C523" s="7"/>
      <c r="D523" s="66"/>
      <c r="E523" s="63" t="s">
        <v>535</v>
      </c>
      <c r="F523" s="64"/>
      <c r="G523" s="64"/>
      <c r="H523" s="64"/>
      <c r="I523" s="64"/>
      <c r="J523" s="65" t="s">
        <v>536</v>
      </c>
      <c r="K523" s="65"/>
      <c r="L523" s="8">
        <v>5500</v>
      </c>
      <c r="M523" s="8"/>
      <c r="N523" s="8"/>
      <c r="O523" s="8"/>
      <c r="P523" s="52"/>
    </row>
    <row r="524" spans="1:16" ht="17.25" customHeight="1">
      <c r="A524" s="2"/>
      <c r="B524" s="7"/>
      <c r="C524" s="7"/>
      <c r="D524" s="66"/>
      <c r="E524" s="439" t="s">
        <v>537</v>
      </c>
      <c r="F524" s="440"/>
      <c r="G524" s="440"/>
      <c r="H524" s="440"/>
      <c r="I524" s="440"/>
      <c r="J524" s="441" t="s">
        <v>538</v>
      </c>
      <c r="K524" s="441"/>
      <c r="L524" s="8">
        <v>1500</v>
      </c>
      <c r="M524" s="8"/>
      <c r="N524" s="8"/>
      <c r="O524" s="8"/>
      <c r="P524" s="52"/>
    </row>
    <row r="525" spans="1:16" ht="17.25" customHeight="1">
      <c r="A525" s="3"/>
      <c r="B525" s="4" t="s">
        <v>8</v>
      </c>
      <c r="C525" s="4"/>
      <c r="D525" s="405" t="s">
        <v>539</v>
      </c>
      <c r="E525" s="405"/>
      <c r="F525" s="405"/>
      <c r="G525" s="405"/>
      <c r="H525" s="405" t="s">
        <v>540</v>
      </c>
      <c r="I525" s="405"/>
      <c r="J525" s="405"/>
      <c r="K525" s="405"/>
      <c r="L525" s="406"/>
      <c r="M525" s="1">
        <f>+M526+M528</f>
        <v>20820</v>
      </c>
      <c r="N525" s="1">
        <f>+N526+N528</f>
        <v>20220</v>
      </c>
      <c r="O525" s="1">
        <f>+O526+O528</f>
        <v>600</v>
      </c>
      <c r="P525" s="52"/>
    </row>
    <row r="526" spans="1:16" ht="17.25" customHeight="1">
      <c r="A526" s="3"/>
      <c r="B526" s="4" t="s">
        <v>8</v>
      </c>
      <c r="C526" s="4"/>
      <c r="D526" s="6"/>
      <c r="E526" s="435" t="s">
        <v>15</v>
      </c>
      <c r="F526" s="435"/>
      <c r="G526" s="435"/>
      <c r="H526" s="435"/>
      <c r="I526" s="435" t="s">
        <v>541</v>
      </c>
      <c r="J526" s="435"/>
      <c r="K526" s="435"/>
      <c r="L526" s="436"/>
      <c r="M526" s="5">
        <f>+L527</f>
        <v>16620</v>
      </c>
      <c r="N526" s="5">
        <v>16620</v>
      </c>
      <c r="O526" s="21">
        <f>+M526-N526</f>
        <v>0</v>
      </c>
      <c r="P526" s="52"/>
    </row>
    <row r="527" spans="1:16" ht="17.25" customHeight="1">
      <c r="A527" s="2"/>
      <c r="B527" s="7"/>
      <c r="C527" s="7"/>
      <c r="D527" s="66"/>
      <c r="E527" s="439" t="s">
        <v>542</v>
      </c>
      <c r="F527" s="440"/>
      <c r="G527" s="440"/>
      <c r="H527" s="440"/>
      <c r="I527" s="440"/>
      <c r="J527" s="441" t="s">
        <v>543</v>
      </c>
      <c r="K527" s="441"/>
      <c r="L527" s="8">
        <v>16620</v>
      </c>
      <c r="M527" s="8"/>
      <c r="N527" s="8"/>
      <c r="O527" s="8"/>
      <c r="P527" s="52"/>
    </row>
    <row r="528" spans="1:16" ht="17.25" customHeight="1">
      <c r="A528" s="3"/>
      <c r="B528" s="4" t="s">
        <v>8</v>
      </c>
      <c r="C528" s="4"/>
      <c r="D528" s="6"/>
      <c r="E528" s="435" t="s">
        <v>182</v>
      </c>
      <c r="F528" s="435"/>
      <c r="G528" s="435"/>
      <c r="H528" s="435"/>
      <c r="I528" s="435" t="s">
        <v>544</v>
      </c>
      <c r="J528" s="435"/>
      <c r="K528" s="435"/>
      <c r="L528" s="436"/>
      <c r="M528" s="5">
        <f>+L529</f>
        <v>4200</v>
      </c>
      <c r="N528" s="5">
        <v>3600</v>
      </c>
      <c r="O528" s="21">
        <f>+M528-N528</f>
        <v>600</v>
      </c>
      <c r="P528" s="52"/>
    </row>
    <row r="529" spans="1:18" ht="17.25" customHeight="1">
      <c r="A529" s="2"/>
      <c r="B529" s="7"/>
      <c r="C529" s="7"/>
      <c r="D529" s="66"/>
      <c r="E529" s="439" t="s">
        <v>545</v>
      </c>
      <c r="F529" s="440"/>
      <c r="G529" s="440"/>
      <c r="H529" s="440"/>
      <c r="I529" s="440"/>
      <c r="J529" s="441" t="s">
        <v>627</v>
      </c>
      <c r="K529" s="441"/>
      <c r="L529" s="8">
        <v>4200</v>
      </c>
      <c r="M529" s="8"/>
      <c r="N529" s="8"/>
      <c r="O529" s="8"/>
      <c r="P529" s="52"/>
    </row>
    <row r="530" spans="1:18" ht="17.25" customHeight="1">
      <c r="A530" s="3"/>
      <c r="B530" s="4" t="s">
        <v>8</v>
      </c>
      <c r="C530" s="4"/>
      <c r="D530" s="405" t="s">
        <v>546</v>
      </c>
      <c r="E530" s="405"/>
      <c r="F530" s="405"/>
      <c r="G530" s="405"/>
      <c r="H530" s="405" t="s">
        <v>547</v>
      </c>
      <c r="I530" s="405"/>
      <c r="J530" s="405"/>
      <c r="K530" s="405"/>
      <c r="L530" s="406"/>
      <c r="M530" s="1">
        <f>+M531+M535+M540+M577</f>
        <v>1591110</v>
      </c>
      <c r="N530" s="1">
        <f>+N531+N535+N540+N577</f>
        <v>1446458</v>
      </c>
      <c r="O530" s="1">
        <f>+O531+O535+O540+O577</f>
        <v>144652</v>
      </c>
      <c r="P530" s="52"/>
    </row>
    <row r="531" spans="1:18" ht="17.25" customHeight="1">
      <c r="A531" s="3"/>
      <c r="B531" s="4" t="s">
        <v>8</v>
      </c>
      <c r="C531" s="4"/>
      <c r="D531" s="405" t="s">
        <v>548</v>
      </c>
      <c r="E531" s="405"/>
      <c r="F531" s="405"/>
      <c r="G531" s="405"/>
      <c r="H531" s="405" t="s">
        <v>549</v>
      </c>
      <c r="I531" s="405"/>
      <c r="J531" s="405"/>
      <c r="K531" s="405"/>
      <c r="L531" s="406"/>
      <c r="M531" s="1">
        <f>+M532</f>
        <v>6000</v>
      </c>
      <c r="N531" s="1">
        <f>+N532</f>
        <v>0</v>
      </c>
      <c r="O531" s="1">
        <f>+O532</f>
        <v>6000</v>
      </c>
      <c r="P531" s="52"/>
    </row>
    <row r="532" spans="1:18" ht="17.25" customHeight="1">
      <c r="A532" s="3"/>
      <c r="B532" s="4" t="s">
        <v>8</v>
      </c>
      <c r="C532" s="4"/>
      <c r="D532" s="6"/>
      <c r="E532" s="435" t="s">
        <v>550</v>
      </c>
      <c r="F532" s="435"/>
      <c r="G532" s="435"/>
      <c r="H532" s="435"/>
      <c r="I532" s="435" t="s">
        <v>551</v>
      </c>
      <c r="J532" s="435"/>
      <c r="K532" s="435"/>
      <c r="L532" s="436"/>
      <c r="M532" s="5">
        <f>+L533+L534</f>
        <v>6000</v>
      </c>
      <c r="N532" s="5">
        <v>0</v>
      </c>
      <c r="O532" s="21">
        <f>+M532-N532</f>
        <v>6000</v>
      </c>
      <c r="P532" s="52"/>
    </row>
    <row r="533" spans="1:18" s="55" customFormat="1" ht="17.25" customHeight="1">
      <c r="A533" s="56"/>
      <c r="B533" s="57"/>
      <c r="C533" s="57"/>
      <c r="D533" s="58"/>
      <c r="E533" s="462" t="s">
        <v>552</v>
      </c>
      <c r="F533" s="463"/>
      <c r="G533" s="463"/>
      <c r="H533" s="463"/>
      <c r="I533" s="463"/>
      <c r="J533" s="444" t="s">
        <v>553</v>
      </c>
      <c r="K533" s="444"/>
      <c r="L533" s="13">
        <v>4000</v>
      </c>
      <c r="M533" s="59"/>
      <c r="N533" s="59"/>
      <c r="O533" s="59"/>
      <c r="P533" s="78" t="s">
        <v>826</v>
      </c>
      <c r="Q533" s="79" t="s">
        <v>834</v>
      </c>
    </row>
    <row r="534" spans="1:18" s="55" customFormat="1" ht="17.25" customHeight="1">
      <c r="A534" s="53"/>
      <c r="B534" s="54"/>
      <c r="C534" s="54"/>
      <c r="D534" s="60"/>
      <c r="E534" s="464" t="s">
        <v>554</v>
      </c>
      <c r="F534" s="465"/>
      <c r="G534" s="465"/>
      <c r="H534" s="465"/>
      <c r="I534" s="465"/>
      <c r="J534" s="466" t="s">
        <v>555</v>
      </c>
      <c r="K534" s="466"/>
      <c r="L534" s="61">
        <v>2000</v>
      </c>
      <c r="M534" s="62"/>
      <c r="N534" s="62"/>
      <c r="O534" s="62"/>
      <c r="P534" s="78" t="s">
        <v>826</v>
      </c>
      <c r="Q534" s="79" t="s">
        <v>834</v>
      </c>
    </row>
    <row r="535" spans="1:18" ht="17.25" customHeight="1">
      <c r="A535" s="3"/>
      <c r="B535" s="4" t="s">
        <v>8</v>
      </c>
      <c r="C535" s="4"/>
      <c r="D535" s="405" t="s">
        <v>556</v>
      </c>
      <c r="E535" s="405"/>
      <c r="F535" s="405"/>
      <c r="G535" s="405"/>
      <c r="H535" s="405" t="s">
        <v>557</v>
      </c>
      <c r="I535" s="405"/>
      <c r="J535" s="405"/>
      <c r="K535" s="405"/>
      <c r="L535" s="406"/>
      <c r="M535" s="1">
        <f>+M536</f>
        <v>4000</v>
      </c>
      <c r="N535" s="1">
        <f>+N536</f>
        <v>3000</v>
      </c>
      <c r="O535" s="1">
        <f>+O536</f>
        <v>1000</v>
      </c>
      <c r="P535" s="52"/>
    </row>
    <row r="536" spans="1:18" ht="17.25" customHeight="1">
      <c r="A536" s="3"/>
      <c r="B536" s="4" t="s">
        <v>8</v>
      </c>
      <c r="C536" s="4"/>
      <c r="D536" s="6"/>
      <c r="E536" s="435" t="s">
        <v>15</v>
      </c>
      <c r="F536" s="435"/>
      <c r="G536" s="435"/>
      <c r="H536" s="435"/>
      <c r="I536" s="435" t="s">
        <v>557</v>
      </c>
      <c r="J536" s="435"/>
      <c r="K536" s="435"/>
      <c r="L536" s="436"/>
      <c r="M536" s="5">
        <f>+L537+L538+L539</f>
        <v>4000</v>
      </c>
      <c r="N536" s="5">
        <v>3000</v>
      </c>
      <c r="O536" s="21">
        <f>+M536-N536</f>
        <v>1000</v>
      </c>
      <c r="P536" s="52"/>
    </row>
    <row r="537" spans="1:18" ht="17.25" customHeight="1">
      <c r="A537" s="2"/>
      <c r="B537" s="7"/>
      <c r="C537" s="7"/>
      <c r="D537" s="66"/>
      <c r="E537" s="439" t="s">
        <v>558</v>
      </c>
      <c r="F537" s="440"/>
      <c r="G537" s="440"/>
      <c r="H537" s="440"/>
      <c r="I537" s="440"/>
      <c r="J537" s="441" t="s">
        <v>559</v>
      </c>
      <c r="K537" s="441"/>
      <c r="L537" s="8">
        <v>1500</v>
      </c>
      <c r="M537" s="8"/>
      <c r="N537" s="8"/>
      <c r="O537" s="8"/>
      <c r="P537" s="52"/>
    </row>
    <row r="538" spans="1:18" ht="17.25" customHeight="1">
      <c r="A538" s="2"/>
      <c r="B538" s="7"/>
      <c r="C538" s="7"/>
      <c r="D538" s="66"/>
      <c r="E538" s="439" t="s">
        <v>560</v>
      </c>
      <c r="F538" s="440"/>
      <c r="G538" s="440"/>
      <c r="H538" s="440"/>
      <c r="I538" s="440"/>
      <c r="J538" s="441" t="s">
        <v>201</v>
      </c>
      <c r="K538" s="441"/>
      <c r="L538" s="8">
        <v>500</v>
      </c>
      <c r="M538" s="8"/>
      <c r="N538" s="8"/>
      <c r="O538" s="8"/>
      <c r="P538" s="52"/>
    </row>
    <row r="539" spans="1:18" ht="17.25" customHeight="1">
      <c r="A539" s="2"/>
      <c r="B539" s="7"/>
      <c r="C539" s="7"/>
      <c r="D539" s="66"/>
      <c r="E539" s="439" t="s">
        <v>561</v>
      </c>
      <c r="F539" s="440"/>
      <c r="G539" s="440"/>
      <c r="H539" s="440"/>
      <c r="I539" s="440"/>
      <c r="J539" s="441" t="s">
        <v>562</v>
      </c>
      <c r="K539" s="441"/>
      <c r="L539" s="8">
        <v>2000</v>
      </c>
      <c r="M539" s="8"/>
      <c r="N539" s="8"/>
      <c r="O539" s="8"/>
      <c r="P539" s="52"/>
    </row>
    <row r="540" spans="1:18" ht="17.25" customHeight="1">
      <c r="A540" s="3"/>
      <c r="B540" s="4" t="s">
        <v>8</v>
      </c>
      <c r="C540" s="4"/>
      <c r="D540" s="405" t="s">
        <v>563</v>
      </c>
      <c r="E540" s="405"/>
      <c r="F540" s="405"/>
      <c r="G540" s="405"/>
      <c r="H540" s="405" t="s">
        <v>564</v>
      </c>
      <c r="I540" s="405"/>
      <c r="J540" s="405"/>
      <c r="K540" s="405"/>
      <c r="L540" s="406"/>
      <c r="M540" s="1">
        <f>+M541+M551</f>
        <v>1557210</v>
      </c>
      <c r="N540" s="1">
        <f>+N541+N551</f>
        <v>1419558</v>
      </c>
      <c r="O540" s="1">
        <f>+O541+O551</f>
        <v>137652</v>
      </c>
      <c r="P540" s="52"/>
    </row>
    <row r="541" spans="1:18" s="39" customFormat="1" ht="17.25" customHeight="1">
      <c r="A541" s="36"/>
      <c r="B541" s="37" t="s">
        <v>8</v>
      </c>
      <c r="C541" s="37"/>
      <c r="D541" s="38"/>
      <c r="E541" s="407" t="s">
        <v>15</v>
      </c>
      <c r="F541" s="407"/>
      <c r="G541" s="407"/>
      <c r="H541" s="407"/>
      <c r="I541" s="407" t="s">
        <v>565</v>
      </c>
      <c r="J541" s="407"/>
      <c r="K541" s="407"/>
      <c r="L541" s="408"/>
      <c r="M541" s="21">
        <f>+L542+L547</f>
        <v>604738</v>
      </c>
      <c r="N541" s="21">
        <v>555252</v>
      </c>
      <c r="O541" s="21">
        <f>+M541-N541</f>
        <v>49486</v>
      </c>
      <c r="P541" s="52"/>
      <c r="Q541" s="77"/>
    </row>
    <row r="542" spans="1:18" s="47" customFormat="1" ht="17.25" customHeight="1">
      <c r="A542" s="44"/>
      <c r="B542" s="45"/>
      <c r="C542" s="45"/>
      <c r="D542" s="46"/>
      <c r="E542" s="427" t="s">
        <v>566</v>
      </c>
      <c r="F542" s="428"/>
      <c r="G542" s="428"/>
      <c r="H542" s="428"/>
      <c r="I542" s="428"/>
      <c r="J542" s="428"/>
      <c r="K542" s="73"/>
      <c r="L542" s="22">
        <f>SUM(L543:L546)</f>
        <v>567096</v>
      </c>
      <c r="M542" s="22"/>
      <c r="N542" s="40"/>
      <c r="O542" s="40"/>
      <c r="P542" s="52"/>
      <c r="Q542" s="81"/>
    </row>
    <row r="543" spans="1:18" s="39" customFormat="1" ht="17.25" customHeight="1">
      <c r="A543" s="15"/>
      <c r="B543" s="16"/>
      <c r="C543" s="16"/>
      <c r="D543" s="71"/>
      <c r="E543" s="424" t="s">
        <v>162</v>
      </c>
      <c r="F543" s="425"/>
      <c r="G543" s="425"/>
      <c r="H543" s="425"/>
      <c r="I543" s="425"/>
      <c r="J543" s="426" t="s">
        <v>785</v>
      </c>
      <c r="K543" s="426"/>
      <c r="L543" s="22">
        <v>377849</v>
      </c>
      <c r="M543" s="22"/>
      <c r="N543" s="22"/>
      <c r="O543" s="22"/>
      <c r="P543" s="52"/>
      <c r="Q543" s="77"/>
      <c r="R543" s="48"/>
    </row>
    <row r="544" spans="1:18" s="39" customFormat="1" ht="17.25" customHeight="1">
      <c r="A544" s="15"/>
      <c r="B544" s="16"/>
      <c r="C544" s="16"/>
      <c r="D544" s="71"/>
      <c r="E544" s="424" t="s">
        <v>163</v>
      </c>
      <c r="F544" s="425"/>
      <c r="G544" s="425"/>
      <c r="H544" s="425"/>
      <c r="I544" s="425"/>
      <c r="J544" s="426" t="s">
        <v>786</v>
      </c>
      <c r="K544" s="426"/>
      <c r="L544" s="22">
        <v>145676</v>
      </c>
      <c r="M544" s="22"/>
      <c r="N544" s="22"/>
      <c r="O544" s="22"/>
      <c r="P544" s="52"/>
      <c r="Q544" s="77"/>
      <c r="R544" s="49"/>
    </row>
    <row r="545" spans="1:18" s="39" customFormat="1" ht="17.25" customHeight="1">
      <c r="A545" s="15"/>
      <c r="B545" s="16"/>
      <c r="C545" s="16"/>
      <c r="D545" s="71"/>
      <c r="E545" s="424" t="s">
        <v>164</v>
      </c>
      <c r="F545" s="425"/>
      <c r="G545" s="425"/>
      <c r="H545" s="425"/>
      <c r="I545" s="425"/>
      <c r="J545" s="426" t="s">
        <v>787</v>
      </c>
      <c r="K545" s="426"/>
      <c r="L545" s="22">
        <v>13871</v>
      </c>
      <c r="M545" s="22"/>
      <c r="N545" s="22"/>
      <c r="O545" s="22"/>
      <c r="P545" s="52"/>
      <c r="Q545" s="77"/>
      <c r="R545" s="49"/>
    </row>
    <row r="546" spans="1:18" s="39" customFormat="1" ht="17.25" customHeight="1">
      <c r="A546" s="15"/>
      <c r="B546" s="16"/>
      <c r="C546" s="16"/>
      <c r="D546" s="71"/>
      <c r="E546" s="424" t="s">
        <v>165</v>
      </c>
      <c r="F546" s="425"/>
      <c r="G546" s="425"/>
      <c r="H546" s="425"/>
      <c r="I546" s="425"/>
      <c r="J546" s="426" t="s">
        <v>788</v>
      </c>
      <c r="K546" s="426"/>
      <c r="L546" s="22">
        <v>29700</v>
      </c>
      <c r="M546" s="22"/>
      <c r="N546" s="22"/>
      <c r="O546" s="22"/>
      <c r="P546" s="52"/>
      <c r="Q546" s="77"/>
      <c r="R546" s="49"/>
    </row>
    <row r="547" spans="1:18" s="47" customFormat="1" ht="17.25" customHeight="1">
      <c r="A547" s="44"/>
      <c r="B547" s="45"/>
      <c r="C547" s="45"/>
      <c r="D547" s="46"/>
      <c r="E547" s="427" t="s">
        <v>92</v>
      </c>
      <c r="F547" s="428"/>
      <c r="G547" s="428"/>
      <c r="H547" s="428"/>
      <c r="I547" s="428"/>
      <c r="J547" s="428"/>
      <c r="K547" s="73"/>
      <c r="L547" s="22">
        <f>L548</f>
        <v>37642</v>
      </c>
      <c r="M547" s="22"/>
      <c r="N547" s="40"/>
      <c r="O547" s="40"/>
      <c r="P547" s="52"/>
      <c r="Q547" s="81"/>
      <c r="R547" s="49"/>
    </row>
    <row r="548" spans="1:18" s="39" customFormat="1" ht="17.25" customHeight="1">
      <c r="A548" s="15"/>
      <c r="B548" s="16"/>
      <c r="C548" s="16"/>
      <c r="D548" s="71"/>
      <c r="E548" s="427" t="s">
        <v>567</v>
      </c>
      <c r="F548" s="428"/>
      <c r="G548" s="428"/>
      <c r="H548" s="428"/>
      <c r="I548" s="428"/>
      <c r="J548" s="428"/>
      <c r="K548" s="73"/>
      <c r="L548" s="22">
        <f>SUM(L549:L550)</f>
        <v>37642</v>
      </c>
      <c r="M548" s="22"/>
      <c r="N548" s="22"/>
      <c r="O548" s="22"/>
      <c r="P548" s="52"/>
      <c r="Q548" s="77"/>
    </row>
    <row r="549" spans="1:18" s="39" customFormat="1" ht="17.25" customHeight="1">
      <c r="A549" s="15"/>
      <c r="B549" s="16"/>
      <c r="C549" s="16"/>
      <c r="D549" s="71"/>
      <c r="E549" s="424" t="s">
        <v>170</v>
      </c>
      <c r="F549" s="425"/>
      <c r="G549" s="425"/>
      <c r="H549" s="425"/>
      <c r="I549" s="425"/>
      <c r="J549" s="426" t="s">
        <v>789</v>
      </c>
      <c r="K549" s="426"/>
      <c r="L549" s="22">
        <v>6215</v>
      </c>
      <c r="M549" s="22"/>
      <c r="N549" s="22"/>
      <c r="O549" s="22"/>
      <c r="P549" s="52"/>
      <c r="Q549" s="77"/>
    </row>
    <row r="550" spans="1:18" s="39" customFormat="1" ht="17.25" customHeight="1">
      <c r="A550" s="15"/>
      <c r="B550" s="16"/>
      <c r="C550" s="16"/>
      <c r="D550" s="71"/>
      <c r="E550" s="424" t="s">
        <v>171</v>
      </c>
      <c r="F550" s="425"/>
      <c r="G550" s="425"/>
      <c r="H550" s="425"/>
      <c r="I550" s="425"/>
      <c r="J550" s="426" t="s">
        <v>790</v>
      </c>
      <c r="K550" s="426"/>
      <c r="L550" s="22">
        <v>31427</v>
      </c>
      <c r="M550" s="22"/>
      <c r="N550" s="22"/>
      <c r="O550" s="22"/>
      <c r="P550" s="52"/>
      <c r="Q550" s="77"/>
    </row>
    <row r="551" spans="1:18" s="39" customFormat="1" ht="17.25" customHeight="1">
      <c r="A551" s="36"/>
      <c r="B551" s="37" t="s">
        <v>8</v>
      </c>
      <c r="C551" s="37"/>
      <c r="D551" s="38"/>
      <c r="E551" s="407" t="s">
        <v>182</v>
      </c>
      <c r="F551" s="407"/>
      <c r="G551" s="407"/>
      <c r="H551" s="407"/>
      <c r="I551" s="407" t="s">
        <v>568</v>
      </c>
      <c r="J551" s="407"/>
      <c r="K551" s="407"/>
      <c r="L551" s="408"/>
      <c r="M551" s="50">
        <f>+L552+L557+L562+L567</f>
        <v>952472</v>
      </c>
      <c r="N551" s="21">
        <v>864306</v>
      </c>
      <c r="O551" s="21">
        <f>+M551-N551</f>
        <v>88166</v>
      </c>
      <c r="P551" s="52"/>
      <c r="Q551" s="77"/>
    </row>
    <row r="552" spans="1:18" s="47" customFormat="1" ht="17.25" customHeight="1">
      <c r="A552" s="44"/>
      <c r="B552" s="45"/>
      <c r="C552" s="45"/>
      <c r="D552" s="46"/>
      <c r="E552" s="427" t="s">
        <v>569</v>
      </c>
      <c r="F552" s="428"/>
      <c r="G552" s="428"/>
      <c r="H552" s="428"/>
      <c r="I552" s="428"/>
      <c r="J552" s="428"/>
      <c r="K552" s="73"/>
      <c r="L552" s="22">
        <f>SUM(L553:L556)</f>
        <v>539406</v>
      </c>
      <c r="M552" s="22"/>
      <c r="N552" s="40"/>
      <c r="O552" s="40"/>
      <c r="P552" s="52"/>
      <c r="Q552" s="81"/>
    </row>
    <row r="553" spans="1:18" s="39" customFormat="1" ht="17.25" customHeight="1">
      <c r="A553" s="15"/>
      <c r="B553" s="16"/>
      <c r="C553" s="16"/>
      <c r="D553" s="71"/>
      <c r="E553" s="424" t="s">
        <v>162</v>
      </c>
      <c r="F553" s="425"/>
      <c r="G553" s="425"/>
      <c r="H553" s="425"/>
      <c r="I553" s="425"/>
      <c r="J553" s="426" t="s">
        <v>791</v>
      </c>
      <c r="K553" s="426"/>
      <c r="L553" s="22">
        <v>335782</v>
      </c>
      <c r="M553" s="22"/>
      <c r="N553" s="22"/>
      <c r="O553" s="22"/>
      <c r="P553" s="52"/>
      <c r="Q553" s="77"/>
    </row>
    <row r="554" spans="1:18" s="39" customFormat="1" ht="17.25" customHeight="1">
      <c r="A554" s="15"/>
      <c r="B554" s="16"/>
      <c r="C554" s="16"/>
      <c r="D554" s="71"/>
      <c r="E554" s="424" t="s">
        <v>163</v>
      </c>
      <c r="F554" s="425"/>
      <c r="G554" s="425"/>
      <c r="H554" s="425"/>
      <c r="I554" s="425"/>
      <c r="J554" s="426" t="s">
        <v>792</v>
      </c>
      <c r="K554" s="426"/>
      <c r="L554" s="51">
        <v>161822</v>
      </c>
      <c r="M554" s="22"/>
      <c r="N554" s="22"/>
      <c r="O554" s="22"/>
      <c r="P554" s="52"/>
      <c r="Q554" s="77"/>
    </row>
    <row r="555" spans="1:18" s="39" customFormat="1" ht="17.25" customHeight="1">
      <c r="A555" s="15"/>
      <c r="B555" s="16"/>
      <c r="C555" s="16"/>
      <c r="D555" s="71"/>
      <c r="E555" s="424" t="s">
        <v>164</v>
      </c>
      <c r="F555" s="425"/>
      <c r="G555" s="425"/>
      <c r="H555" s="425"/>
      <c r="I555" s="425"/>
      <c r="J555" s="426" t="s">
        <v>793</v>
      </c>
      <c r="K555" s="426"/>
      <c r="L555" s="22">
        <v>15408</v>
      </c>
      <c r="M555" s="22"/>
      <c r="N555" s="22"/>
      <c r="O555" s="22"/>
      <c r="P555" s="52"/>
      <c r="Q555" s="77"/>
    </row>
    <row r="556" spans="1:18" s="39" customFormat="1" ht="17.25" customHeight="1">
      <c r="A556" s="15"/>
      <c r="B556" s="16"/>
      <c r="C556" s="16"/>
      <c r="D556" s="71"/>
      <c r="E556" s="424" t="s">
        <v>165</v>
      </c>
      <c r="F556" s="425"/>
      <c r="G556" s="425"/>
      <c r="H556" s="425"/>
      <c r="I556" s="425"/>
      <c r="J556" s="426" t="s">
        <v>794</v>
      </c>
      <c r="K556" s="426"/>
      <c r="L556" s="22">
        <v>26394</v>
      </c>
      <c r="M556" s="22"/>
      <c r="N556" s="22"/>
      <c r="O556" s="22"/>
      <c r="P556" s="52"/>
      <c r="Q556" s="77"/>
    </row>
    <row r="557" spans="1:18" s="47" customFormat="1" ht="17.25" customHeight="1">
      <c r="A557" s="44"/>
      <c r="B557" s="45"/>
      <c r="C557" s="45"/>
      <c r="D557" s="46"/>
      <c r="E557" s="427" t="s">
        <v>570</v>
      </c>
      <c r="F557" s="428"/>
      <c r="G557" s="428"/>
      <c r="H557" s="428"/>
      <c r="I557" s="428"/>
      <c r="J557" s="428"/>
      <c r="K557" s="73"/>
      <c r="L557" s="22">
        <f>SUM(L558:L561)</f>
        <v>249538</v>
      </c>
      <c r="M557" s="22"/>
      <c r="N557" s="40"/>
      <c r="O557" s="40"/>
      <c r="P557" s="52"/>
      <c r="Q557" s="81"/>
    </row>
    <row r="558" spans="1:18" s="39" customFormat="1" ht="17.25" customHeight="1">
      <c r="A558" s="15"/>
      <c r="B558" s="16"/>
      <c r="C558" s="16"/>
      <c r="D558" s="71"/>
      <c r="E558" s="424" t="s">
        <v>162</v>
      </c>
      <c r="F558" s="425"/>
      <c r="G558" s="425"/>
      <c r="H558" s="425"/>
      <c r="I558" s="425"/>
      <c r="J558" s="426" t="s">
        <v>795</v>
      </c>
      <c r="K558" s="426"/>
      <c r="L558" s="22">
        <v>155338</v>
      </c>
      <c r="M558" s="22"/>
      <c r="N558" s="22"/>
      <c r="O558" s="22"/>
      <c r="P558" s="52"/>
      <c r="Q558" s="77"/>
    </row>
    <row r="559" spans="1:18" s="39" customFormat="1" ht="17.25" customHeight="1">
      <c r="A559" s="15"/>
      <c r="B559" s="16"/>
      <c r="C559" s="16"/>
      <c r="D559" s="71"/>
      <c r="E559" s="424" t="s">
        <v>163</v>
      </c>
      <c r="F559" s="425"/>
      <c r="G559" s="425"/>
      <c r="H559" s="425"/>
      <c r="I559" s="425"/>
      <c r="J559" s="426" t="s">
        <v>796</v>
      </c>
      <c r="K559" s="426"/>
      <c r="L559" s="22">
        <v>74862</v>
      </c>
      <c r="M559" s="22"/>
      <c r="N559" s="22"/>
      <c r="O559" s="22"/>
      <c r="P559" s="52"/>
      <c r="Q559" s="77"/>
    </row>
    <row r="560" spans="1:18" s="39" customFormat="1" ht="17.25" customHeight="1">
      <c r="A560" s="15"/>
      <c r="B560" s="16"/>
      <c r="C560" s="16"/>
      <c r="D560" s="71"/>
      <c r="E560" s="424" t="s">
        <v>164</v>
      </c>
      <c r="F560" s="425"/>
      <c r="G560" s="425"/>
      <c r="H560" s="425"/>
      <c r="I560" s="425"/>
      <c r="J560" s="426" t="s">
        <v>797</v>
      </c>
      <c r="K560" s="426"/>
      <c r="L560" s="22">
        <v>7128</v>
      </c>
      <c r="M560" s="22"/>
      <c r="N560" s="22"/>
      <c r="O560" s="22"/>
      <c r="P560" s="52"/>
      <c r="Q560" s="77"/>
    </row>
    <row r="561" spans="1:17" s="39" customFormat="1" ht="17.25" customHeight="1">
      <c r="A561" s="15"/>
      <c r="B561" s="16"/>
      <c r="C561" s="16"/>
      <c r="D561" s="71"/>
      <c r="E561" s="424" t="s">
        <v>165</v>
      </c>
      <c r="F561" s="425"/>
      <c r="G561" s="425"/>
      <c r="H561" s="425"/>
      <c r="I561" s="425"/>
      <c r="J561" s="426" t="s">
        <v>571</v>
      </c>
      <c r="K561" s="426"/>
      <c r="L561" s="22">
        <v>12210</v>
      </c>
      <c r="M561" s="22"/>
      <c r="N561" s="22"/>
      <c r="O561" s="22"/>
      <c r="P561" s="52"/>
      <c r="Q561" s="77"/>
    </row>
    <row r="562" spans="1:17" s="47" customFormat="1" ht="17.25" customHeight="1">
      <c r="A562" s="44"/>
      <c r="B562" s="45"/>
      <c r="C562" s="45"/>
      <c r="D562" s="46"/>
      <c r="E562" s="427" t="s">
        <v>572</v>
      </c>
      <c r="F562" s="428"/>
      <c r="G562" s="428"/>
      <c r="H562" s="428"/>
      <c r="I562" s="428"/>
      <c r="J562" s="428"/>
      <c r="K562" s="73"/>
      <c r="L562" s="22">
        <f>SUM(L563:L566)</f>
        <v>107910</v>
      </c>
      <c r="M562" s="22"/>
      <c r="N562" s="40"/>
      <c r="O562" s="40"/>
      <c r="P562" s="52"/>
      <c r="Q562" s="81"/>
    </row>
    <row r="563" spans="1:17" s="39" customFormat="1" ht="17.25" customHeight="1">
      <c r="A563" s="15"/>
      <c r="B563" s="16"/>
      <c r="C563" s="16"/>
      <c r="D563" s="71"/>
      <c r="E563" s="424" t="s">
        <v>162</v>
      </c>
      <c r="F563" s="425"/>
      <c r="G563" s="425"/>
      <c r="H563" s="425"/>
      <c r="I563" s="425"/>
      <c r="J563" s="426" t="s">
        <v>798</v>
      </c>
      <c r="K563" s="426"/>
      <c r="L563" s="22">
        <v>67174</v>
      </c>
      <c r="M563" s="22"/>
      <c r="N563" s="22"/>
      <c r="O563" s="22"/>
      <c r="P563" s="52"/>
      <c r="Q563" s="77"/>
    </row>
    <row r="564" spans="1:17" s="39" customFormat="1" ht="17.25" customHeight="1">
      <c r="A564" s="15"/>
      <c r="B564" s="16"/>
      <c r="C564" s="16"/>
      <c r="D564" s="71"/>
      <c r="E564" s="424" t="s">
        <v>163</v>
      </c>
      <c r="F564" s="425"/>
      <c r="G564" s="425"/>
      <c r="H564" s="425"/>
      <c r="I564" s="425"/>
      <c r="J564" s="426" t="s">
        <v>799</v>
      </c>
      <c r="K564" s="426"/>
      <c r="L564" s="22">
        <v>32373</v>
      </c>
      <c r="M564" s="22"/>
      <c r="N564" s="22"/>
      <c r="O564" s="22"/>
      <c r="P564" s="52"/>
      <c r="Q564" s="77"/>
    </row>
    <row r="565" spans="1:17" s="39" customFormat="1" ht="17.25" customHeight="1">
      <c r="A565" s="15"/>
      <c r="B565" s="16"/>
      <c r="C565" s="16"/>
      <c r="D565" s="71"/>
      <c r="E565" s="424" t="s">
        <v>164</v>
      </c>
      <c r="F565" s="425"/>
      <c r="G565" s="425"/>
      <c r="H565" s="425"/>
      <c r="I565" s="425"/>
      <c r="J565" s="426" t="s">
        <v>800</v>
      </c>
      <c r="K565" s="426"/>
      <c r="L565" s="22">
        <v>3083</v>
      </c>
      <c r="M565" s="22"/>
      <c r="N565" s="22"/>
      <c r="O565" s="22"/>
      <c r="P565" s="52"/>
      <c r="Q565" s="77"/>
    </row>
    <row r="566" spans="1:17" s="39" customFormat="1" ht="17.25" customHeight="1">
      <c r="A566" s="15"/>
      <c r="B566" s="16"/>
      <c r="C566" s="16"/>
      <c r="D566" s="71"/>
      <c r="E566" s="424" t="s">
        <v>165</v>
      </c>
      <c r="F566" s="425"/>
      <c r="G566" s="425"/>
      <c r="H566" s="425"/>
      <c r="I566" s="425"/>
      <c r="J566" s="426" t="s">
        <v>573</v>
      </c>
      <c r="K566" s="426"/>
      <c r="L566" s="22">
        <v>5280</v>
      </c>
      <c r="M566" s="22"/>
      <c r="N566" s="22"/>
      <c r="O566" s="22"/>
      <c r="P566" s="52"/>
      <c r="Q566" s="77"/>
    </row>
    <row r="567" spans="1:17" s="47" customFormat="1" ht="17.25" customHeight="1">
      <c r="A567" s="44"/>
      <c r="B567" s="45"/>
      <c r="C567" s="45"/>
      <c r="D567" s="46"/>
      <c r="E567" s="427" t="s">
        <v>92</v>
      </c>
      <c r="F567" s="428"/>
      <c r="G567" s="428"/>
      <c r="H567" s="428"/>
      <c r="I567" s="428"/>
      <c r="J567" s="428"/>
      <c r="K567" s="73"/>
      <c r="L567" s="22">
        <f>L568+L571+L574</f>
        <v>55618</v>
      </c>
      <c r="M567" s="22"/>
      <c r="N567" s="40"/>
      <c r="O567" s="40"/>
      <c r="P567" s="52"/>
      <c r="Q567" s="81"/>
    </row>
    <row r="568" spans="1:17" s="39" customFormat="1" ht="17.25" customHeight="1">
      <c r="A568" s="15"/>
      <c r="B568" s="16"/>
      <c r="C568" s="16"/>
      <c r="D568" s="71"/>
      <c r="E568" s="427" t="s">
        <v>574</v>
      </c>
      <c r="F568" s="428"/>
      <c r="G568" s="428"/>
      <c r="H568" s="428"/>
      <c r="I568" s="428"/>
      <c r="J568" s="428"/>
      <c r="K568" s="73"/>
      <c r="L568" s="22">
        <f>SUM(L569:L570)</f>
        <v>33451</v>
      </c>
      <c r="M568" s="22"/>
      <c r="N568" s="22"/>
      <c r="O568" s="22"/>
      <c r="P568" s="52"/>
      <c r="Q568" s="77"/>
    </row>
    <row r="569" spans="1:17" s="39" customFormat="1" ht="17.25" customHeight="1">
      <c r="A569" s="15"/>
      <c r="B569" s="16"/>
      <c r="C569" s="16"/>
      <c r="D569" s="71"/>
      <c r="E569" s="424" t="s">
        <v>170</v>
      </c>
      <c r="F569" s="425"/>
      <c r="G569" s="425"/>
      <c r="H569" s="425"/>
      <c r="I569" s="425"/>
      <c r="J569" s="426" t="s">
        <v>801</v>
      </c>
      <c r="K569" s="426"/>
      <c r="L569" s="22">
        <v>5523</v>
      </c>
      <c r="M569" s="22"/>
      <c r="N569" s="22"/>
      <c r="O569" s="22"/>
      <c r="P569" s="52"/>
      <c r="Q569" s="77"/>
    </row>
    <row r="570" spans="1:17" s="39" customFormat="1" ht="17.25" customHeight="1">
      <c r="A570" s="15"/>
      <c r="B570" s="16"/>
      <c r="C570" s="16"/>
      <c r="D570" s="71"/>
      <c r="E570" s="424" t="s">
        <v>171</v>
      </c>
      <c r="F570" s="425"/>
      <c r="G570" s="425"/>
      <c r="H570" s="425"/>
      <c r="I570" s="425"/>
      <c r="J570" s="426" t="s">
        <v>802</v>
      </c>
      <c r="K570" s="426"/>
      <c r="L570" s="22">
        <v>27928</v>
      </c>
      <c r="M570" s="22"/>
      <c r="N570" s="22"/>
      <c r="O570" s="22"/>
      <c r="P570" s="52"/>
      <c r="Q570" s="77"/>
    </row>
    <row r="571" spans="1:17" s="39" customFormat="1" ht="17.25" customHeight="1">
      <c r="A571" s="15"/>
      <c r="B571" s="16"/>
      <c r="C571" s="16"/>
      <c r="D571" s="71"/>
      <c r="E571" s="427" t="s">
        <v>575</v>
      </c>
      <c r="F571" s="428"/>
      <c r="G571" s="428"/>
      <c r="H571" s="428"/>
      <c r="I571" s="428"/>
      <c r="J571" s="428"/>
      <c r="K571" s="73"/>
      <c r="L571" s="22">
        <f>SUM(L572:L573)</f>
        <v>15475</v>
      </c>
      <c r="M571" s="22"/>
      <c r="N571" s="22"/>
      <c r="O571" s="22"/>
      <c r="P571" s="52"/>
      <c r="Q571" s="77"/>
    </row>
    <row r="572" spans="1:17" s="39" customFormat="1" ht="17.25" customHeight="1">
      <c r="A572" s="15"/>
      <c r="B572" s="16"/>
      <c r="C572" s="16"/>
      <c r="D572" s="71"/>
      <c r="E572" s="424" t="s">
        <v>170</v>
      </c>
      <c r="F572" s="425"/>
      <c r="G572" s="425"/>
      <c r="H572" s="425"/>
      <c r="I572" s="425"/>
      <c r="J572" s="426" t="s">
        <v>803</v>
      </c>
      <c r="K572" s="426"/>
      <c r="L572" s="22">
        <v>2555</v>
      </c>
      <c r="M572" s="22"/>
      <c r="N572" s="22"/>
      <c r="O572" s="22"/>
      <c r="P572" s="52"/>
      <c r="Q572" s="77"/>
    </row>
    <row r="573" spans="1:17" s="39" customFormat="1" ht="17.25" customHeight="1">
      <c r="A573" s="15"/>
      <c r="B573" s="16"/>
      <c r="C573" s="16"/>
      <c r="D573" s="71"/>
      <c r="E573" s="424" t="s">
        <v>171</v>
      </c>
      <c r="F573" s="425"/>
      <c r="G573" s="425"/>
      <c r="H573" s="425"/>
      <c r="I573" s="425"/>
      <c r="J573" s="426" t="s">
        <v>804</v>
      </c>
      <c r="K573" s="426"/>
      <c r="L573" s="22">
        <v>12920</v>
      </c>
      <c r="M573" s="22"/>
      <c r="N573" s="22"/>
      <c r="O573" s="22"/>
      <c r="P573" s="52"/>
      <c r="Q573" s="77"/>
    </row>
    <row r="574" spans="1:17" s="39" customFormat="1" ht="17.25" customHeight="1">
      <c r="A574" s="15"/>
      <c r="B574" s="16"/>
      <c r="C574" s="16"/>
      <c r="D574" s="71"/>
      <c r="E574" s="427" t="s">
        <v>576</v>
      </c>
      <c r="F574" s="428"/>
      <c r="G574" s="428"/>
      <c r="H574" s="428"/>
      <c r="I574" s="428"/>
      <c r="J574" s="428"/>
      <c r="K574" s="73"/>
      <c r="L574" s="22">
        <f>SUM(L575:L576)</f>
        <v>6692</v>
      </c>
      <c r="M574" s="22"/>
      <c r="N574" s="22"/>
      <c r="O574" s="22"/>
      <c r="P574" s="52"/>
      <c r="Q574" s="77"/>
    </row>
    <row r="575" spans="1:17" s="39" customFormat="1" ht="17.25" customHeight="1">
      <c r="A575" s="15"/>
      <c r="B575" s="16"/>
      <c r="C575" s="16"/>
      <c r="D575" s="71"/>
      <c r="E575" s="424" t="s">
        <v>170</v>
      </c>
      <c r="F575" s="425"/>
      <c r="G575" s="425"/>
      <c r="H575" s="425"/>
      <c r="I575" s="425"/>
      <c r="J575" s="426" t="s">
        <v>805</v>
      </c>
      <c r="K575" s="426"/>
      <c r="L575" s="22">
        <v>1105</v>
      </c>
      <c r="M575" s="22"/>
      <c r="N575" s="22"/>
      <c r="O575" s="22"/>
      <c r="P575" s="52"/>
      <c r="Q575" s="77"/>
    </row>
    <row r="576" spans="1:17" s="39" customFormat="1" ht="17.25" customHeight="1">
      <c r="A576" s="15"/>
      <c r="B576" s="16"/>
      <c r="C576" s="16"/>
      <c r="D576" s="71"/>
      <c r="E576" s="424" t="s">
        <v>171</v>
      </c>
      <c r="F576" s="425"/>
      <c r="G576" s="425"/>
      <c r="H576" s="425"/>
      <c r="I576" s="425"/>
      <c r="J576" s="426" t="s">
        <v>806</v>
      </c>
      <c r="K576" s="426"/>
      <c r="L576" s="22">
        <v>5587</v>
      </c>
      <c r="M576" s="22"/>
      <c r="N576" s="22"/>
      <c r="O576" s="22"/>
      <c r="P576" s="52"/>
      <c r="Q576" s="77"/>
    </row>
    <row r="577" spans="1:16" ht="17.25" customHeight="1">
      <c r="A577" s="3"/>
      <c r="B577" s="4" t="s">
        <v>8</v>
      </c>
      <c r="C577" s="4"/>
      <c r="D577" s="405" t="s">
        <v>577</v>
      </c>
      <c r="E577" s="405"/>
      <c r="F577" s="405"/>
      <c r="G577" s="405"/>
      <c r="H577" s="405" t="s">
        <v>578</v>
      </c>
      <c r="I577" s="405"/>
      <c r="J577" s="405"/>
      <c r="K577" s="405"/>
      <c r="L577" s="406"/>
      <c r="M577" s="1">
        <f>+M578</f>
        <v>23900</v>
      </c>
      <c r="N577" s="1">
        <f>+N578</f>
        <v>23900</v>
      </c>
      <c r="O577" s="1">
        <f>+O578</f>
        <v>0</v>
      </c>
      <c r="P577" s="52"/>
    </row>
    <row r="578" spans="1:16" ht="17.25" customHeight="1">
      <c r="A578" s="3"/>
      <c r="B578" s="4" t="s">
        <v>8</v>
      </c>
      <c r="C578" s="4"/>
      <c r="D578" s="6"/>
      <c r="E578" s="435" t="s">
        <v>387</v>
      </c>
      <c r="F578" s="435"/>
      <c r="G578" s="435"/>
      <c r="H578" s="435"/>
      <c r="I578" s="435" t="s">
        <v>579</v>
      </c>
      <c r="J578" s="435"/>
      <c r="K578" s="435"/>
      <c r="L578" s="436"/>
      <c r="M578" s="5">
        <f>+L579</f>
        <v>23900</v>
      </c>
      <c r="N578" s="5">
        <v>23900</v>
      </c>
      <c r="O578" s="21">
        <f>+M578-N578</f>
        <v>0</v>
      </c>
      <c r="P578" s="52"/>
    </row>
    <row r="579" spans="1:16" ht="17.25" customHeight="1">
      <c r="A579" s="2"/>
      <c r="B579" s="7"/>
      <c r="C579" s="7"/>
      <c r="D579" s="66"/>
      <c r="E579" s="439" t="s">
        <v>580</v>
      </c>
      <c r="F579" s="440"/>
      <c r="G579" s="440"/>
      <c r="H579" s="440"/>
      <c r="I579" s="440"/>
      <c r="J579" s="441" t="s">
        <v>581</v>
      </c>
      <c r="K579" s="441"/>
      <c r="L579" s="8">
        <v>23900</v>
      </c>
      <c r="M579" s="8"/>
      <c r="N579" s="8"/>
      <c r="O579" s="8"/>
      <c r="P579" s="52"/>
    </row>
    <row r="580" spans="1:16" ht="17.25" customHeight="1">
      <c r="A580" s="2"/>
      <c r="B580" s="405" t="s">
        <v>582</v>
      </c>
      <c r="C580" s="405"/>
      <c r="D580" s="405"/>
      <c r="E580" s="405"/>
      <c r="F580" s="405" t="s">
        <v>583</v>
      </c>
      <c r="G580" s="405"/>
      <c r="H580" s="405"/>
      <c r="I580" s="405"/>
      <c r="J580" s="405"/>
      <c r="K580" s="405"/>
      <c r="L580" s="406"/>
      <c r="M580" s="1">
        <f t="shared" ref="M580:O583" si="0">+M581</f>
        <v>5000</v>
      </c>
      <c r="N580" s="1">
        <f t="shared" si="0"/>
        <v>3000</v>
      </c>
      <c r="O580" s="1">
        <f t="shared" si="0"/>
        <v>2000</v>
      </c>
      <c r="P580" s="52"/>
    </row>
    <row r="581" spans="1:16" ht="17.25" customHeight="1">
      <c r="A581" s="3"/>
      <c r="B581" s="4" t="s">
        <v>582</v>
      </c>
      <c r="C581" s="405" t="s">
        <v>584</v>
      </c>
      <c r="D581" s="405"/>
      <c r="E581" s="405"/>
      <c r="F581" s="405"/>
      <c r="G581" s="405" t="s">
        <v>585</v>
      </c>
      <c r="H581" s="405"/>
      <c r="I581" s="405"/>
      <c r="J581" s="405"/>
      <c r="K581" s="405"/>
      <c r="L581" s="406"/>
      <c r="M581" s="1">
        <f t="shared" si="0"/>
        <v>5000</v>
      </c>
      <c r="N581" s="1">
        <f t="shared" si="0"/>
        <v>3000</v>
      </c>
      <c r="O581" s="1">
        <f t="shared" si="0"/>
        <v>2000</v>
      </c>
      <c r="P581" s="52"/>
    </row>
    <row r="582" spans="1:16" ht="17.25" customHeight="1">
      <c r="A582" s="3"/>
      <c r="B582" s="4" t="s">
        <v>582</v>
      </c>
      <c r="C582" s="4"/>
      <c r="D582" s="405" t="s">
        <v>546</v>
      </c>
      <c r="E582" s="405"/>
      <c r="F582" s="405"/>
      <c r="G582" s="405"/>
      <c r="H582" s="405" t="s">
        <v>547</v>
      </c>
      <c r="I582" s="405"/>
      <c r="J582" s="405"/>
      <c r="K582" s="405"/>
      <c r="L582" s="406"/>
      <c r="M582" s="1">
        <f t="shared" si="0"/>
        <v>5000</v>
      </c>
      <c r="N582" s="1">
        <f t="shared" si="0"/>
        <v>3000</v>
      </c>
      <c r="O582" s="1">
        <f t="shared" si="0"/>
        <v>2000</v>
      </c>
      <c r="P582" s="52"/>
    </row>
    <row r="583" spans="1:16" ht="17.25" customHeight="1">
      <c r="A583" s="3"/>
      <c r="B583" s="4" t="s">
        <v>582</v>
      </c>
      <c r="C583" s="4"/>
      <c r="D583" s="405" t="s">
        <v>586</v>
      </c>
      <c r="E583" s="405"/>
      <c r="F583" s="405"/>
      <c r="G583" s="405"/>
      <c r="H583" s="405" t="s">
        <v>587</v>
      </c>
      <c r="I583" s="405"/>
      <c r="J583" s="405"/>
      <c r="K583" s="405"/>
      <c r="L583" s="406"/>
      <c r="M583" s="1">
        <f t="shared" si="0"/>
        <v>5000</v>
      </c>
      <c r="N583" s="1">
        <f t="shared" si="0"/>
        <v>3000</v>
      </c>
      <c r="O583" s="1">
        <f t="shared" si="0"/>
        <v>2000</v>
      </c>
      <c r="P583" s="52"/>
    </row>
    <row r="584" spans="1:16" ht="17.25" customHeight="1">
      <c r="A584" s="10"/>
      <c r="B584" s="11"/>
      <c r="C584" s="11"/>
      <c r="D584" s="35"/>
      <c r="E584" s="459" t="s">
        <v>588</v>
      </c>
      <c r="F584" s="460"/>
      <c r="G584" s="460"/>
      <c r="H584" s="460"/>
      <c r="I584" s="460"/>
      <c r="J584" s="461" t="s">
        <v>835</v>
      </c>
      <c r="K584" s="461"/>
      <c r="L584" s="12">
        <v>5000</v>
      </c>
      <c r="M584" s="12">
        <f>+L584</f>
        <v>5000</v>
      </c>
      <c r="N584" s="12">
        <v>3000</v>
      </c>
      <c r="O584" s="21">
        <f>+M584-N584</f>
        <v>2000</v>
      </c>
      <c r="P584" s="52"/>
    </row>
    <row r="585" spans="1:16" ht="17.25" customHeight="1">
      <c r="A585" s="412" t="s">
        <v>184</v>
      </c>
      <c r="B585" s="405"/>
      <c r="C585" s="405"/>
      <c r="D585" s="405"/>
      <c r="E585" s="405" t="s">
        <v>589</v>
      </c>
      <c r="F585" s="405"/>
      <c r="G585" s="405"/>
      <c r="H585" s="405"/>
      <c r="I585" s="405"/>
      <c r="J585" s="405"/>
      <c r="K585" s="405"/>
      <c r="L585" s="406"/>
      <c r="M585" s="1">
        <f>+M586+M591</f>
        <v>8000</v>
      </c>
      <c r="N585" s="1">
        <f>+N586+N591</f>
        <v>75405</v>
      </c>
      <c r="O585" s="1">
        <f>+O586+O591</f>
        <v>-67405</v>
      </c>
      <c r="P585" s="52"/>
    </row>
    <row r="586" spans="1:16" ht="17.25" customHeight="1">
      <c r="A586" s="2"/>
      <c r="B586" s="405" t="s">
        <v>590</v>
      </c>
      <c r="C586" s="405"/>
      <c r="D586" s="405"/>
      <c r="E586" s="405"/>
      <c r="F586" s="405" t="s">
        <v>591</v>
      </c>
      <c r="G586" s="405"/>
      <c r="H586" s="405"/>
      <c r="I586" s="405"/>
      <c r="J586" s="405"/>
      <c r="K586" s="405"/>
      <c r="L586" s="406"/>
      <c r="M586" s="1">
        <f t="shared" ref="M586:O588" si="1">+M587</f>
        <v>8000</v>
      </c>
      <c r="N586" s="1">
        <f t="shared" si="1"/>
        <v>39440</v>
      </c>
      <c r="O586" s="1">
        <f t="shared" si="1"/>
        <v>-31440</v>
      </c>
      <c r="P586" s="52"/>
    </row>
    <row r="587" spans="1:16" ht="17.25" customHeight="1">
      <c r="A587" s="3"/>
      <c r="B587" s="4" t="s">
        <v>590</v>
      </c>
      <c r="C587" s="405" t="s">
        <v>592</v>
      </c>
      <c r="D587" s="405"/>
      <c r="E587" s="405"/>
      <c r="F587" s="405"/>
      <c r="G587" s="405" t="s">
        <v>593</v>
      </c>
      <c r="H587" s="405"/>
      <c r="I587" s="405"/>
      <c r="J587" s="405"/>
      <c r="K587" s="405"/>
      <c r="L587" s="406"/>
      <c r="M587" s="1">
        <f t="shared" si="1"/>
        <v>8000</v>
      </c>
      <c r="N587" s="1">
        <f t="shared" si="1"/>
        <v>39440</v>
      </c>
      <c r="O587" s="1">
        <f t="shared" si="1"/>
        <v>-31440</v>
      </c>
      <c r="P587" s="52"/>
    </row>
    <row r="588" spans="1:16" ht="17.25" customHeight="1">
      <c r="A588" s="3"/>
      <c r="B588" s="4" t="s">
        <v>590</v>
      </c>
      <c r="C588" s="4"/>
      <c r="D588" s="405" t="s">
        <v>594</v>
      </c>
      <c r="E588" s="405"/>
      <c r="F588" s="405"/>
      <c r="G588" s="405"/>
      <c r="H588" s="405" t="s">
        <v>595</v>
      </c>
      <c r="I588" s="405"/>
      <c r="J588" s="405"/>
      <c r="K588" s="405"/>
      <c r="L588" s="406"/>
      <c r="M588" s="1">
        <f t="shared" si="1"/>
        <v>8000</v>
      </c>
      <c r="N588" s="1">
        <f t="shared" si="1"/>
        <v>39440</v>
      </c>
      <c r="O588" s="1">
        <f t="shared" si="1"/>
        <v>-31440</v>
      </c>
      <c r="P588" s="52"/>
    </row>
    <row r="589" spans="1:16" ht="17.25" customHeight="1">
      <c r="A589" s="3"/>
      <c r="B589" s="4" t="s">
        <v>590</v>
      </c>
      <c r="C589" s="4"/>
      <c r="D589" s="6"/>
      <c r="E589" s="435" t="s">
        <v>15</v>
      </c>
      <c r="F589" s="435"/>
      <c r="G589" s="435"/>
      <c r="H589" s="435"/>
      <c r="I589" s="435" t="s">
        <v>596</v>
      </c>
      <c r="J589" s="435"/>
      <c r="K589" s="435"/>
      <c r="L589" s="436"/>
      <c r="M589" s="5">
        <f>+L590</f>
        <v>8000</v>
      </c>
      <c r="N589" s="5">
        <v>39440</v>
      </c>
      <c r="O589" s="21">
        <f>+M589-N589</f>
        <v>-31440</v>
      </c>
      <c r="P589" s="52"/>
    </row>
    <row r="590" spans="1:16" ht="17.25" customHeight="1">
      <c r="A590" s="2"/>
      <c r="B590" s="7"/>
      <c r="C590" s="7"/>
      <c r="D590" s="66"/>
      <c r="E590" s="439" t="s">
        <v>808</v>
      </c>
      <c r="F590" s="440"/>
      <c r="G590" s="440"/>
      <c r="H590" s="440"/>
      <c r="I590" s="440"/>
      <c r="J590" s="441" t="s">
        <v>809</v>
      </c>
      <c r="K590" s="441"/>
      <c r="L590" s="8">
        <v>8000</v>
      </c>
      <c r="M590" s="8"/>
      <c r="N590" s="8"/>
      <c r="O590" s="8"/>
      <c r="P590" s="52"/>
    </row>
    <row r="591" spans="1:16" ht="17.25" customHeight="1">
      <c r="A591" s="2"/>
      <c r="B591" s="405" t="s">
        <v>597</v>
      </c>
      <c r="C591" s="405"/>
      <c r="D591" s="405"/>
      <c r="E591" s="405"/>
      <c r="F591" s="405" t="s">
        <v>598</v>
      </c>
      <c r="G591" s="405"/>
      <c r="H591" s="405"/>
      <c r="I591" s="405"/>
      <c r="J591" s="405"/>
      <c r="K591" s="405"/>
      <c r="L591" s="406"/>
      <c r="M591" s="1">
        <f>+M592+M595</f>
        <v>0</v>
      </c>
      <c r="N591" s="1">
        <f>+N592+N595</f>
        <v>35965</v>
      </c>
      <c r="O591" s="1">
        <f>+O592+O595</f>
        <v>-35965</v>
      </c>
      <c r="P591" s="52"/>
    </row>
    <row r="592" spans="1:16" ht="17.25" customHeight="1">
      <c r="A592" s="3"/>
      <c r="B592" s="4" t="s">
        <v>597</v>
      </c>
      <c r="C592" s="405" t="s">
        <v>599</v>
      </c>
      <c r="D592" s="405"/>
      <c r="E592" s="405"/>
      <c r="F592" s="405"/>
      <c r="G592" s="405" t="s">
        <v>600</v>
      </c>
      <c r="H592" s="405"/>
      <c r="I592" s="405"/>
      <c r="J592" s="405"/>
      <c r="K592" s="405"/>
      <c r="L592" s="406"/>
      <c r="M592" s="1">
        <f t="shared" ref="M592:O593" si="2">+M593</f>
        <v>0</v>
      </c>
      <c r="N592" s="1">
        <f t="shared" si="2"/>
        <v>2000</v>
      </c>
      <c r="O592" s="1">
        <f t="shared" si="2"/>
        <v>-2000</v>
      </c>
      <c r="P592" s="52"/>
    </row>
    <row r="593" spans="1:16" ht="17.25" customHeight="1">
      <c r="A593" s="3"/>
      <c r="B593" s="4" t="s">
        <v>597</v>
      </c>
      <c r="C593" s="4"/>
      <c r="D593" s="405" t="s">
        <v>594</v>
      </c>
      <c r="E593" s="405"/>
      <c r="F593" s="405"/>
      <c r="G593" s="405"/>
      <c r="H593" s="405" t="s">
        <v>595</v>
      </c>
      <c r="I593" s="405"/>
      <c r="J593" s="405"/>
      <c r="K593" s="405"/>
      <c r="L593" s="406"/>
      <c r="M593" s="1">
        <f t="shared" si="2"/>
        <v>0</v>
      </c>
      <c r="N593" s="1">
        <f t="shared" si="2"/>
        <v>2000</v>
      </c>
      <c r="O593" s="1">
        <f t="shared" si="2"/>
        <v>-2000</v>
      </c>
      <c r="P593" s="52"/>
    </row>
    <row r="594" spans="1:16" ht="17.25" customHeight="1">
      <c r="A594" s="3"/>
      <c r="B594" s="4" t="s">
        <v>597</v>
      </c>
      <c r="C594" s="4"/>
      <c r="D594" s="6"/>
      <c r="E594" s="435" t="s">
        <v>294</v>
      </c>
      <c r="F594" s="435"/>
      <c r="G594" s="435"/>
      <c r="H594" s="435"/>
      <c r="I594" s="435" t="s">
        <v>601</v>
      </c>
      <c r="J594" s="435"/>
      <c r="K594" s="435"/>
      <c r="L594" s="436"/>
      <c r="M594" s="5">
        <v>0</v>
      </c>
      <c r="N594" s="5">
        <v>2000</v>
      </c>
      <c r="O594" s="21">
        <f>+M594-N594</f>
        <v>-2000</v>
      </c>
      <c r="P594" s="52"/>
    </row>
    <row r="595" spans="1:16" ht="17.25" customHeight="1">
      <c r="A595" s="3"/>
      <c r="B595" s="4" t="s">
        <v>597</v>
      </c>
      <c r="C595" s="405" t="s">
        <v>602</v>
      </c>
      <c r="D595" s="405"/>
      <c r="E595" s="405"/>
      <c r="F595" s="405"/>
      <c r="G595" s="405" t="s">
        <v>603</v>
      </c>
      <c r="H595" s="405"/>
      <c r="I595" s="405"/>
      <c r="J595" s="405"/>
      <c r="K595" s="405"/>
      <c r="L595" s="406"/>
      <c r="M595" s="1">
        <f t="shared" ref="M595:O596" si="3">+M596</f>
        <v>0</v>
      </c>
      <c r="N595" s="1">
        <f t="shared" si="3"/>
        <v>33965</v>
      </c>
      <c r="O595" s="1">
        <f t="shared" si="3"/>
        <v>-33965</v>
      </c>
      <c r="P595" s="52"/>
    </row>
    <row r="596" spans="1:16" ht="17.25" customHeight="1">
      <c r="A596" s="3"/>
      <c r="B596" s="4" t="s">
        <v>597</v>
      </c>
      <c r="C596" s="4"/>
      <c r="D596" s="405" t="s">
        <v>594</v>
      </c>
      <c r="E596" s="405"/>
      <c r="F596" s="405"/>
      <c r="G596" s="405"/>
      <c r="H596" s="405" t="s">
        <v>595</v>
      </c>
      <c r="I596" s="405"/>
      <c r="J596" s="405"/>
      <c r="K596" s="405"/>
      <c r="L596" s="406"/>
      <c r="M596" s="1">
        <f t="shared" si="3"/>
        <v>0</v>
      </c>
      <c r="N596" s="1">
        <f t="shared" si="3"/>
        <v>33965</v>
      </c>
      <c r="O596" s="1">
        <f t="shared" si="3"/>
        <v>-33965</v>
      </c>
      <c r="P596" s="52"/>
    </row>
    <row r="597" spans="1:16" ht="17.25" customHeight="1">
      <c r="A597" s="27"/>
      <c r="B597" s="28" t="s">
        <v>597</v>
      </c>
      <c r="C597" s="28"/>
      <c r="D597" s="29"/>
      <c r="E597" s="405" t="s">
        <v>408</v>
      </c>
      <c r="F597" s="405"/>
      <c r="G597" s="405"/>
      <c r="H597" s="405"/>
      <c r="I597" s="405" t="s">
        <v>603</v>
      </c>
      <c r="J597" s="405"/>
      <c r="K597" s="405"/>
      <c r="L597" s="406"/>
      <c r="M597" s="1">
        <v>0</v>
      </c>
      <c r="N597" s="1">
        <v>33965</v>
      </c>
      <c r="O597" s="20">
        <f>+M597-N597</f>
        <v>-33965</v>
      </c>
      <c r="P597" s="52"/>
    </row>
  </sheetData>
  <mergeCells count="1034">
    <mergeCell ref="D596:G596"/>
    <mergeCell ref="H596:L596"/>
    <mergeCell ref="E597:H597"/>
    <mergeCell ref="I597:L597"/>
    <mergeCell ref="D593:G593"/>
    <mergeCell ref="H593:L593"/>
    <mergeCell ref="E594:H594"/>
    <mergeCell ref="I594:L594"/>
    <mergeCell ref="C595:F595"/>
    <mergeCell ref="G595:L595"/>
    <mergeCell ref="E590:I590"/>
    <mergeCell ref="J590:K590"/>
    <mergeCell ref="B591:E591"/>
    <mergeCell ref="F591:L591"/>
    <mergeCell ref="C592:F592"/>
    <mergeCell ref="G592:L592"/>
    <mergeCell ref="C587:F587"/>
    <mergeCell ref="G587:L587"/>
    <mergeCell ref="D588:G588"/>
    <mergeCell ref="H588:L588"/>
    <mergeCell ref="E589:H589"/>
    <mergeCell ref="I589:L589"/>
    <mergeCell ref="E584:I584"/>
    <mergeCell ref="J584:K584"/>
    <mergeCell ref="A585:D585"/>
    <mergeCell ref="E585:L585"/>
    <mergeCell ref="B586:E586"/>
    <mergeCell ref="F586:L586"/>
    <mergeCell ref="C581:F581"/>
    <mergeCell ref="G581:L581"/>
    <mergeCell ref="D582:G582"/>
    <mergeCell ref="H582:L582"/>
    <mergeCell ref="D583:G583"/>
    <mergeCell ref="H583:L583"/>
    <mergeCell ref="E578:H578"/>
    <mergeCell ref="I578:L578"/>
    <mergeCell ref="E579:I579"/>
    <mergeCell ref="J579:K579"/>
    <mergeCell ref="B580:E580"/>
    <mergeCell ref="F580:L580"/>
    <mergeCell ref="E575:I575"/>
    <mergeCell ref="J575:K575"/>
    <mergeCell ref="E576:I576"/>
    <mergeCell ref="J576:K576"/>
    <mergeCell ref="D577:G577"/>
    <mergeCell ref="H577:L577"/>
    <mergeCell ref="E571:J571"/>
    <mergeCell ref="E572:I572"/>
    <mergeCell ref="J572:K572"/>
    <mergeCell ref="E573:I573"/>
    <mergeCell ref="J573:K573"/>
    <mergeCell ref="E574:J574"/>
    <mergeCell ref="E567:J567"/>
    <mergeCell ref="E568:J568"/>
    <mergeCell ref="E569:I569"/>
    <mergeCell ref="J569:K569"/>
    <mergeCell ref="E570:I570"/>
    <mergeCell ref="J570:K570"/>
    <mergeCell ref="E564:I564"/>
    <mergeCell ref="J564:K564"/>
    <mergeCell ref="E565:I565"/>
    <mergeCell ref="J565:K565"/>
    <mergeCell ref="E566:I566"/>
    <mergeCell ref="J566:K566"/>
    <mergeCell ref="E560:I560"/>
    <mergeCell ref="J560:K560"/>
    <mergeCell ref="E561:I561"/>
    <mergeCell ref="J561:K561"/>
    <mergeCell ref="E562:J562"/>
    <mergeCell ref="E563:I563"/>
    <mergeCell ref="J563:K563"/>
    <mergeCell ref="E556:I556"/>
    <mergeCell ref="J556:K556"/>
    <mergeCell ref="E557:J557"/>
    <mergeCell ref="E558:I558"/>
    <mergeCell ref="J558:K558"/>
    <mergeCell ref="E559:I559"/>
    <mergeCell ref="J559:K559"/>
    <mergeCell ref="E552:J552"/>
    <mergeCell ref="E553:I553"/>
    <mergeCell ref="J553:K553"/>
    <mergeCell ref="E554:I554"/>
    <mergeCell ref="J554:K554"/>
    <mergeCell ref="E555:I555"/>
    <mergeCell ref="J555:K555"/>
    <mergeCell ref="E549:I549"/>
    <mergeCell ref="J549:K549"/>
    <mergeCell ref="E550:I550"/>
    <mergeCell ref="J550:K550"/>
    <mergeCell ref="E551:H551"/>
    <mergeCell ref="I551:L551"/>
    <mergeCell ref="E545:I545"/>
    <mergeCell ref="J545:K545"/>
    <mergeCell ref="E546:I546"/>
    <mergeCell ref="J546:K546"/>
    <mergeCell ref="E547:J547"/>
    <mergeCell ref="E548:J548"/>
    <mergeCell ref="E541:H541"/>
    <mergeCell ref="I541:L541"/>
    <mergeCell ref="E542:J542"/>
    <mergeCell ref="E543:I543"/>
    <mergeCell ref="J543:K543"/>
    <mergeCell ref="E544:I544"/>
    <mergeCell ref="J544:K544"/>
    <mergeCell ref="E538:I538"/>
    <mergeCell ref="J538:K538"/>
    <mergeCell ref="E539:I539"/>
    <mergeCell ref="J539:K539"/>
    <mergeCell ref="D540:G540"/>
    <mergeCell ref="H540:L540"/>
    <mergeCell ref="D535:G535"/>
    <mergeCell ref="H535:L535"/>
    <mergeCell ref="E536:H536"/>
    <mergeCell ref="I536:L536"/>
    <mergeCell ref="E537:I537"/>
    <mergeCell ref="J537:K537"/>
    <mergeCell ref="E532:H532"/>
    <mergeCell ref="I532:L532"/>
    <mergeCell ref="E533:I533"/>
    <mergeCell ref="J533:K533"/>
    <mergeCell ref="E534:I534"/>
    <mergeCell ref="J534:K534"/>
    <mergeCell ref="E529:I529"/>
    <mergeCell ref="J529:K529"/>
    <mergeCell ref="D530:G530"/>
    <mergeCell ref="H530:L530"/>
    <mergeCell ref="D531:G531"/>
    <mergeCell ref="H531:L531"/>
    <mergeCell ref="E526:H526"/>
    <mergeCell ref="I526:L526"/>
    <mergeCell ref="E527:I527"/>
    <mergeCell ref="J527:K527"/>
    <mergeCell ref="E528:H528"/>
    <mergeCell ref="I528:L528"/>
    <mergeCell ref="E522:I522"/>
    <mergeCell ref="J522:K522"/>
    <mergeCell ref="E524:I524"/>
    <mergeCell ref="J524:K524"/>
    <mergeCell ref="D525:G525"/>
    <mergeCell ref="H525:L525"/>
    <mergeCell ref="E519:I519"/>
    <mergeCell ref="J519:K519"/>
    <mergeCell ref="E520:I520"/>
    <mergeCell ref="J520:K520"/>
    <mergeCell ref="E521:I521"/>
    <mergeCell ref="J521:K521"/>
    <mergeCell ref="D515:G515"/>
    <mergeCell ref="H515:L515"/>
    <mergeCell ref="E516:H516"/>
    <mergeCell ref="I516:L516"/>
    <mergeCell ref="E517:J517"/>
    <mergeCell ref="E518:I518"/>
    <mergeCell ref="J518:K518"/>
    <mergeCell ref="E512:I512"/>
    <mergeCell ref="J512:K512"/>
    <mergeCell ref="D513:G513"/>
    <mergeCell ref="H513:L513"/>
    <mergeCell ref="E514:H514"/>
    <mergeCell ref="I514:L514"/>
    <mergeCell ref="E509:I509"/>
    <mergeCell ref="J509:K509"/>
    <mergeCell ref="D510:G510"/>
    <mergeCell ref="H510:L510"/>
    <mergeCell ref="E511:H511"/>
    <mergeCell ref="I511:L511"/>
    <mergeCell ref="E506:I506"/>
    <mergeCell ref="J506:K506"/>
    <mergeCell ref="E507:H507"/>
    <mergeCell ref="I507:L507"/>
    <mergeCell ref="E508:I508"/>
    <mergeCell ref="J508:K508"/>
    <mergeCell ref="E502:I502"/>
    <mergeCell ref="J502:K502"/>
    <mergeCell ref="E503:J503"/>
    <mergeCell ref="E504:I504"/>
    <mergeCell ref="J504:K504"/>
    <mergeCell ref="E505:I505"/>
    <mergeCell ref="J505:K505"/>
    <mergeCell ref="D498:G498"/>
    <mergeCell ref="H498:L498"/>
    <mergeCell ref="E499:H499"/>
    <mergeCell ref="I499:L499"/>
    <mergeCell ref="E500:J500"/>
    <mergeCell ref="E501:I501"/>
    <mergeCell ref="J501:K501"/>
    <mergeCell ref="E494:H494"/>
    <mergeCell ref="I494:L494"/>
    <mergeCell ref="E495:J495"/>
    <mergeCell ref="E496:I496"/>
    <mergeCell ref="J496:K496"/>
    <mergeCell ref="E497:I497"/>
    <mergeCell ref="J497:K497"/>
    <mergeCell ref="E491:I491"/>
    <mergeCell ref="J491:K491"/>
    <mergeCell ref="E492:I492"/>
    <mergeCell ref="J492:K492"/>
    <mergeCell ref="E493:I493"/>
    <mergeCell ref="J493:K493"/>
    <mergeCell ref="E487:J487"/>
    <mergeCell ref="E488:I488"/>
    <mergeCell ref="J488:K488"/>
    <mergeCell ref="E489:I489"/>
    <mergeCell ref="J489:K489"/>
    <mergeCell ref="E490:J490"/>
    <mergeCell ref="E483:J483"/>
    <mergeCell ref="E484:I484"/>
    <mergeCell ref="J484:K484"/>
    <mergeCell ref="E485:I485"/>
    <mergeCell ref="J485:K485"/>
    <mergeCell ref="E486:I486"/>
    <mergeCell ref="J486:K486"/>
    <mergeCell ref="E480:I480"/>
    <mergeCell ref="J480:K480"/>
    <mergeCell ref="E481:I481"/>
    <mergeCell ref="J481:K481"/>
    <mergeCell ref="E482:I482"/>
    <mergeCell ref="J482:K482"/>
    <mergeCell ref="E477:I477"/>
    <mergeCell ref="J477:K477"/>
    <mergeCell ref="E478:I478"/>
    <mergeCell ref="J478:K478"/>
    <mergeCell ref="E479:I479"/>
    <mergeCell ref="J479:K479"/>
    <mergeCell ref="E474:I474"/>
    <mergeCell ref="J474:K474"/>
    <mergeCell ref="E475:I475"/>
    <mergeCell ref="J475:K475"/>
    <mergeCell ref="E476:I476"/>
    <mergeCell ref="J476:K476"/>
    <mergeCell ref="E471:I471"/>
    <mergeCell ref="J471:K471"/>
    <mergeCell ref="E472:H472"/>
    <mergeCell ref="I472:L472"/>
    <mergeCell ref="E473:I473"/>
    <mergeCell ref="J473:K473"/>
    <mergeCell ref="E468:I468"/>
    <mergeCell ref="J468:K468"/>
    <mergeCell ref="E469:I469"/>
    <mergeCell ref="J469:K469"/>
    <mergeCell ref="E470:H470"/>
    <mergeCell ref="I470:L470"/>
    <mergeCell ref="E464:I464"/>
    <mergeCell ref="J464:K464"/>
    <mergeCell ref="E465:I465"/>
    <mergeCell ref="J465:K465"/>
    <mergeCell ref="E466:J466"/>
    <mergeCell ref="E467:I467"/>
    <mergeCell ref="J467:K467"/>
    <mergeCell ref="E460:I460"/>
    <mergeCell ref="J460:K460"/>
    <mergeCell ref="E461:I461"/>
    <mergeCell ref="J461:K461"/>
    <mergeCell ref="E462:J462"/>
    <mergeCell ref="E463:I463"/>
    <mergeCell ref="E457:I457"/>
    <mergeCell ref="J457:K457"/>
    <mergeCell ref="E458:I458"/>
    <mergeCell ref="J458:K458"/>
    <mergeCell ref="E459:I459"/>
    <mergeCell ref="J459:K459"/>
    <mergeCell ref="E453:I453"/>
    <mergeCell ref="J453:K453"/>
    <mergeCell ref="E454:I454"/>
    <mergeCell ref="J454:K454"/>
    <mergeCell ref="E455:J455"/>
    <mergeCell ref="E456:I456"/>
    <mergeCell ref="J456:K456"/>
    <mergeCell ref="E450:I450"/>
    <mergeCell ref="J450:K450"/>
    <mergeCell ref="E451:I451"/>
    <mergeCell ref="J451:K451"/>
    <mergeCell ref="E452:I452"/>
    <mergeCell ref="J452:K452"/>
    <mergeCell ref="E447:I447"/>
    <mergeCell ref="J447:K447"/>
    <mergeCell ref="E448:I448"/>
    <mergeCell ref="J448:K448"/>
    <mergeCell ref="E449:I449"/>
    <mergeCell ref="J449:K449"/>
    <mergeCell ref="E444:I444"/>
    <mergeCell ref="J444:K444"/>
    <mergeCell ref="E445:H445"/>
    <mergeCell ref="I445:L445"/>
    <mergeCell ref="E446:I446"/>
    <mergeCell ref="J446:K446"/>
    <mergeCell ref="E441:I441"/>
    <mergeCell ref="J441:K441"/>
    <mergeCell ref="E442:I442"/>
    <mergeCell ref="J442:K442"/>
    <mergeCell ref="E443:I443"/>
    <mergeCell ref="J443:K443"/>
    <mergeCell ref="E438:I438"/>
    <mergeCell ref="J438:K438"/>
    <mergeCell ref="E439:I439"/>
    <mergeCell ref="J439:K439"/>
    <mergeCell ref="E440:I440"/>
    <mergeCell ref="J440:K440"/>
    <mergeCell ref="E434:I434"/>
    <mergeCell ref="J434:K434"/>
    <mergeCell ref="E435:L435"/>
    <mergeCell ref="E436:K436"/>
    <mergeCell ref="E437:I437"/>
    <mergeCell ref="J437:K437"/>
    <mergeCell ref="E431:H431"/>
    <mergeCell ref="I431:L431"/>
    <mergeCell ref="E432:I432"/>
    <mergeCell ref="J432:K432"/>
    <mergeCell ref="E433:I433"/>
    <mergeCell ref="J433:K433"/>
    <mergeCell ref="E428:I428"/>
    <mergeCell ref="J428:K428"/>
    <mergeCell ref="E429:I429"/>
    <mergeCell ref="J429:K429"/>
    <mergeCell ref="E430:I430"/>
    <mergeCell ref="J430:K430"/>
    <mergeCell ref="J424:K424"/>
    <mergeCell ref="E425:J425"/>
    <mergeCell ref="E426:I426"/>
    <mergeCell ref="J426:K426"/>
    <mergeCell ref="E427:I427"/>
    <mergeCell ref="J427:K427"/>
    <mergeCell ref="E421:I421"/>
    <mergeCell ref="J421:K421"/>
    <mergeCell ref="E422:I422"/>
    <mergeCell ref="J422:K422"/>
    <mergeCell ref="E423:I423"/>
    <mergeCell ref="J423:K423"/>
    <mergeCell ref="E417:J417"/>
    <mergeCell ref="E418:I418"/>
    <mergeCell ref="J418:K418"/>
    <mergeCell ref="E419:I419"/>
    <mergeCell ref="J419:K419"/>
    <mergeCell ref="E420:H420"/>
    <mergeCell ref="I420:L420"/>
    <mergeCell ref="E414:I414"/>
    <mergeCell ref="J414:K414"/>
    <mergeCell ref="E415:I415"/>
    <mergeCell ref="J415:K415"/>
    <mergeCell ref="E416:I416"/>
    <mergeCell ref="J416:K416"/>
    <mergeCell ref="E411:I411"/>
    <mergeCell ref="J411:K411"/>
    <mergeCell ref="E412:I412"/>
    <mergeCell ref="J412:K412"/>
    <mergeCell ref="E413:I413"/>
    <mergeCell ref="J413:K413"/>
    <mergeCell ref="E407:J407"/>
    <mergeCell ref="E408:I408"/>
    <mergeCell ref="J408:K408"/>
    <mergeCell ref="E409:I409"/>
    <mergeCell ref="J409:K409"/>
    <mergeCell ref="E410:I410"/>
    <mergeCell ref="J410:K410"/>
    <mergeCell ref="E403:I403"/>
    <mergeCell ref="J403:K403"/>
    <mergeCell ref="E404:J404"/>
    <mergeCell ref="E405:I405"/>
    <mergeCell ref="J405:K405"/>
    <mergeCell ref="E406:I406"/>
    <mergeCell ref="J406:K406"/>
    <mergeCell ref="E400:I400"/>
    <mergeCell ref="J400:K400"/>
    <mergeCell ref="E401:H401"/>
    <mergeCell ref="I401:L401"/>
    <mergeCell ref="E402:I402"/>
    <mergeCell ref="J402:K402"/>
    <mergeCell ref="E397:I397"/>
    <mergeCell ref="J397:K397"/>
    <mergeCell ref="E398:I398"/>
    <mergeCell ref="J398:K398"/>
    <mergeCell ref="E399:I399"/>
    <mergeCell ref="J399:K399"/>
    <mergeCell ref="E393:J393"/>
    <mergeCell ref="E394:I394"/>
    <mergeCell ref="J394:K394"/>
    <mergeCell ref="E395:I395"/>
    <mergeCell ref="J395:K395"/>
    <mergeCell ref="E396:I396"/>
    <mergeCell ref="J396:K396"/>
    <mergeCell ref="E389:I389"/>
    <mergeCell ref="J389:K389"/>
    <mergeCell ref="E390:I390"/>
    <mergeCell ref="J390:K390"/>
    <mergeCell ref="E391:J391"/>
    <mergeCell ref="E392:I392"/>
    <mergeCell ref="J392:K392"/>
    <mergeCell ref="E386:I386"/>
    <mergeCell ref="J386:K386"/>
    <mergeCell ref="E387:I387"/>
    <mergeCell ref="J387:K387"/>
    <mergeCell ref="E388:I388"/>
    <mergeCell ref="J388:K388"/>
    <mergeCell ref="E383:I383"/>
    <mergeCell ref="J383:K383"/>
    <mergeCell ref="E384:I384"/>
    <mergeCell ref="J384:K384"/>
    <mergeCell ref="E385:I385"/>
    <mergeCell ref="J385:K385"/>
    <mergeCell ref="E380:I380"/>
    <mergeCell ref="J380:K380"/>
    <mergeCell ref="E381:I381"/>
    <mergeCell ref="J381:K381"/>
    <mergeCell ref="E382:I382"/>
    <mergeCell ref="J382:K382"/>
    <mergeCell ref="E377:I377"/>
    <mergeCell ref="J377:K377"/>
    <mergeCell ref="E378:I378"/>
    <mergeCell ref="J378:K378"/>
    <mergeCell ref="E379:I379"/>
    <mergeCell ref="J379:K379"/>
    <mergeCell ref="E374:I374"/>
    <mergeCell ref="J374:K374"/>
    <mergeCell ref="E375:I375"/>
    <mergeCell ref="J375:K375"/>
    <mergeCell ref="E376:I376"/>
    <mergeCell ref="J376:K376"/>
    <mergeCell ref="E371:I371"/>
    <mergeCell ref="J371:K371"/>
    <mergeCell ref="E372:I372"/>
    <mergeCell ref="J372:K372"/>
    <mergeCell ref="E373:I373"/>
    <mergeCell ref="J373:K373"/>
    <mergeCell ref="E368:I368"/>
    <mergeCell ref="J368:K368"/>
    <mergeCell ref="E369:I369"/>
    <mergeCell ref="J369:K369"/>
    <mergeCell ref="E370:I370"/>
    <mergeCell ref="J370:K370"/>
    <mergeCell ref="E365:I365"/>
    <mergeCell ref="J365:K365"/>
    <mergeCell ref="E366:I366"/>
    <mergeCell ref="J366:K366"/>
    <mergeCell ref="E367:I367"/>
    <mergeCell ref="J367:K367"/>
    <mergeCell ref="E362:I362"/>
    <mergeCell ref="J362:K362"/>
    <mergeCell ref="E363:I363"/>
    <mergeCell ref="J363:K363"/>
    <mergeCell ref="E364:H364"/>
    <mergeCell ref="I364:L364"/>
    <mergeCell ref="E359:I359"/>
    <mergeCell ref="J359:K359"/>
    <mergeCell ref="E360:I360"/>
    <mergeCell ref="J360:K360"/>
    <mergeCell ref="E361:I361"/>
    <mergeCell ref="J361:K361"/>
    <mergeCell ref="E356:I356"/>
    <mergeCell ref="J356:K356"/>
    <mergeCell ref="E357:I357"/>
    <mergeCell ref="J357:K357"/>
    <mergeCell ref="E358:I358"/>
    <mergeCell ref="J358:K358"/>
    <mergeCell ref="E353:I353"/>
    <mergeCell ref="J353:K353"/>
    <mergeCell ref="E354:H354"/>
    <mergeCell ref="I354:L354"/>
    <mergeCell ref="E355:I355"/>
    <mergeCell ref="J355:K355"/>
    <mergeCell ref="E350:I350"/>
    <mergeCell ref="J350:K350"/>
    <mergeCell ref="E351:I351"/>
    <mergeCell ref="J351:K351"/>
    <mergeCell ref="E352:I352"/>
    <mergeCell ref="J352:K352"/>
    <mergeCell ref="E346:I346"/>
    <mergeCell ref="J346:K346"/>
    <mergeCell ref="E347:L347"/>
    <mergeCell ref="E348:K348"/>
    <mergeCell ref="E349:I349"/>
    <mergeCell ref="J349:K349"/>
    <mergeCell ref="E342:I342"/>
    <mergeCell ref="J342:K342"/>
    <mergeCell ref="E343:I343"/>
    <mergeCell ref="J343:K343"/>
    <mergeCell ref="E344:L344"/>
    <mergeCell ref="E345:K345"/>
    <mergeCell ref="E339:I339"/>
    <mergeCell ref="J339:K339"/>
    <mergeCell ref="E340:I340"/>
    <mergeCell ref="J340:K340"/>
    <mergeCell ref="E341:I341"/>
    <mergeCell ref="J341:K341"/>
    <mergeCell ref="E336:I336"/>
    <mergeCell ref="J336:K336"/>
    <mergeCell ref="E337:I337"/>
    <mergeCell ref="J337:K337"/>
    <mergeCell ref="E338:I338"/>
    <mergeCell ref="J338:K338"/>
    <mergeCell ref="E332:J332"/>
    <mergeCell ref="E333:I333"/>
    <mergeCell ref="J333:K333"/>
    <mergeCell ref="E334:I334"/>
    <mergeCell ref="J334:K334"/>
    <mergeCell ref="E335:I335"/>
    <mergeCell ref="J335:K335"/>
    <mergeCell ref="E329:I329"/>
    <mergeCell ref="J329:K329"/>
    <mergeCell ref="E330:I330"/>
    <mergeCell ref="J330:K330"/>
    <mergeCell ref="E331:I331"/>
    <mergeCell ref="J331:K331"/>
    <mergeCell ref="E326:I326"/>
    <mergeCell ref="J326:K326"/>
    <mergeCell ref="E327:I327"/>
    <mergeCell ref="J327:K327"/>
    <mergeCell ref="E328:I328"/>
    <mergeCell ref="J328:K328"/>
    <mergeCell ref="E322:J322"/>
    <mergeCell ref="E323:I323"/>
    <mergeCell ref="J323:K323"/>
    <mergeCell ref="E324:I324"/>
    <mergeCell ref="J324:K324"/>
    <mergeCell ref="E325:I325"/>
    <mergeCell ref="J325:K325"/>
    <mergeCell ref="E318:J318"/>
    <mergeCell ref="E319:I319"/>
    <mergeCell ref="J319:K319"/>
    <mergeCell ref="E320:I320"/>
    <mergeCell ref="J320:K320"/>
    <mergeCell ref="E321:I321"/>
    <mergeCell ref="J321:K321"/>
    <mergeCell ref="E315:I315"/>
    <mergeCell ref="J315:K315"/>
    <mergeCell ref="E316:I316"/>
    <mergeCell ref="J316:K316"/>
    <mergeCell ref="E317:I317"/>
    <mergeCell ref="J317:K317"/>
    <mergeCell ref="E312:I312"/>
    <mergeCell ref="J312:K312"/>
    <mergeCell ref="E313:I313"/>
    <mergeCell ref="J313:K313"/>
    <mergeCell ref="E314:I314"/>
    <mergeCell ref="J314:K314"/>
    <mergeCell ref="E309:I309"/>
    <mergeCell ref="J309:K309"/>
    <mergeCell ref="E310:I310"/>
    <mergeCell ref="J310:K310"/>
    <mergeCell ref="E311:I311"/>
    <mergeCell ref="J311:K311"/>
    <mergeCell ref="E306:I306"/>
    <mergeCell ref="J306:K306"/>
    <mergeCell ref="E307:I307"/>
    <mergeCell ref="J307:K307"/>
    <mergeCell ref="E308:I308"/>
    <mergeCell ref="J308:K308"/>
    <mergeCell ref="E302:H302"/>
    <mergeCell ref="I302:L302"/>
    <mergeCell ref="E303:J303"/>
    <mergeCell ref="E304:I304"/>
    <mergeCell ref="J304:K304"/>
    <mergeCell ref="E305:I305"/>
    <mergeCell ref="J305:K305"/>
    <mergeCell ref="E298:J298"/>
    <mergeCell ref="E299:I299"/>
    <mergeCell ref="J299:K299"/>
    <mergeCell ref="D300:G300"/>
    <mergeCell ref="H300:L300"/>
    <mergeCell ref="D301:G301"/>
    <mergeCell ref="H301:L301"/>
    <mergeCell ref="E294:I294"/>
    <mergeCell ref="J294:K294"/>
    <mergeCell ref="E295:J295"/>
    <mergeCell ref="E296:J296"/>
    <mergeCell ref="E297:I297"/>
    <mergeCell ref="J297:K297"/>
    <mergeCell ref="E290:I290"/>
    <mergeCell ref="J290:K290"/>
    <mergeCell ref="E291:I291"/>
    <mergeCell ref="J291:K291"/>
    <mergeCell ref="E292:J292"/>
    <mergeCell ref="E293:I293"/>
    <mergeCell ref="J293:K293"/>
    <mergeCell ref="E286:J286"/>
    <mergeCell ref="E287:I287"/>
    <mergeCell ref="J287:K287"/>
    <mergeCell ref="E288:H288"/>
    <mergeCell ref="I288:L288"/>
    <mergeCell ref="E289:J289"/>
    <mergeCell ref="E281:J281"/>
    <mergeCell ref="E282:I282"/>
    <mergeCell ref="J282:K282"/>
    <mergeCell ref="E283:J283"/>
    <mergeCell ref="E284:J284"/>
    <mergeCell ref="E285:I285"/>
    <mergeCell ref="J285:K285"/>
    <mergeCell ref="D277:G277"/>
    <mergeCell ref="H277:L277"/>
    <mergeCell ref="E278:H278"/>
    <mergeCell ref="I278:L278"/>
    <mergeCell ref="E279:J279"/>
    <mergeCell ref="E280:I280"/>
    <mergeCell ref="J280:K280"/>
    <mergeCell ref="E273:I273"/>
    <mergeCell ref="J273:K273"/>
    <mergeCell ref="E274:I274"/>
    <mergeCell ref="J274:K274"/>
    <mergeCell ref="E275:J275"/>
    <mergeCell ref="E276:I276"/>
    <mergeCell ref="J276:K276"/>
    <mergeCell ref="E269:I269"/>
    <mergeCell ref="J269:K269"/>
    <mergeCell ref="E270:I270"/>
    <mergeCell ref="J270:K270"/>
    <mergeCell ref="E271:J271"/>
    <mergeCell ref="E272:J272"/>
    <mergeCell ref="E265:I265"/>
    <mergeCell ref="J265:K265"/>
    <mergeCell ref="E266:J266"/>
    <mergeCell ref="E267:I267"/>
    <mergeCell ref="J267:K267"/>
    <mergeCell ref="E268:I268"/>
    <mergeCell ref="J268:K268"/>
    <mergeCell ref="E261:J261"/>
    <mergeCell ref="E262:I262"/>
    <mergeCell ref="J262:K262"/>
    <mergeCell ref="E263:I263"/>
    <mergeCell ref="J263:K263"/>
    <mergeCell ref="E264:I264"/>
    <mergeCell ref="J264:K264"/>
    <mergeCell ref="E258:I258"/>
    <mergeCell ref="J258:K258"/>
    <mergeCell ref="D259:G259"/>
    <mergeCell ref="H259:L259"/>
    <mergeCell ref="E260:H260"/>
    <mergeCell ref="I260:L260"/>
    <mergeCell ref="E254:J254"/>
    <mergeCell ref="E255:I255"/>
    <mergeCell ref="J255:K255"/>
    <mergeCell ref="E256:I256"/>
    <mergeCell ref="J256:K256"/>
    <mergeCell ref="E257:I257"/>
    <mergeCell ref="J257:K257"/>
    <mergeCell ref="E250:H250"/>
    <mergeCell ref="I250:L250"/>
    <mergeCell ref="E251:J251"/>
    <mergeCell ref="E252:I252"/>
    <mergeCell ref="J252:K252"/>
    <mergeCell ref="E253:I253"/>
    <mergeCell ref="J253:K253"/>
    <mergeCell ref="E244:L244"/>
    <mergeCell ref="E245:K245"/>
    <mergeCell ref="E246:L246"/>
    <mergeCell ref="E247:K247"/>
    <mergeCell ref="E248:L248"/>
    <mergeCell ref="E249:K249"/>
    <mergeCell ref="E240:I240"/>
    <mergeCell ref="J240:K240"/>
    <mergeCell ref="E241:I241"/>
    <mergeCell ref="J241:K241"/>
    <mergeCell ref="E242:L242"/>
    <mergeCell ref="E243:K243"/>
    <mergeCell ref="E237:I237"/>
    <mergeCell ref="J237:K237"/>
    <mergeCell ref="E238:I238"/>
    <mergeCell ref="J238:K238"/>
    <mergeCell ref="E239:I239"/>
    <mergeCell ref="J239:K239"/>
    <mergeCell ref="E233:I233"/>
    <mergeCell ref="J233:K233"/>
    <mergeCell ref="E234:I234"/>
    <mergeCell ref="J234:K234"/>
    <mergeCell ref="E235:J235"/>
    <mergeCell ref="E236:I236"/>
    <mergeCell ref="J236:K236"/>
    <mergeCell ref="E228:L228"/>
    <mergeCell ref="E229:K229"/>
    <mergeCell ref="E230:J230"/>
    <mergeCell ref="E231:J231"/>
    <mergeCell ref="E232:I232"/>
    <mergeCell ref="J232:K232"/>
    <mergeCell ref="E222:L222"/>
    <mergeCell ref="E223:K223"/>
    <mergeCell ref="E224:L224"/>
    <mergeCell ref="E225:K225"/>
    <mergeCell ref="E226:L226"/>
    <mergeCell ref="E227:K227"/>
    <mergeCell ref="E219:I219"/>
    <mergeCell ref="J219:K219"/>
    <mergeCell ref="E220:I220"/>
    <mergeCell ref="J220:K220"/>
    <mergeCell ref="E221:I221"/>
    <mergeCell ref="J221:K221"/>
    <mergeCell ref="E215:J215"/>
    <mergeCell ref="E216:I216"/>
    <mergeCell ref="J216:K216"/>
    <mergeCell ref="E217:I217"/>
    <mergeCell ref="J217:K217"/>
    <mergeCell ref="E218:J218"/>
    <mergeCell ref="E211:J211"/>
    <mergeCell ref="E212:I212"/>
    <mergeCell ref="J212:K212"/>
    <mergeCell ref="E213:I213"/>
    <mergeCell ref="J213:K213"/>
    <mergeCell ref="E214:I214"/>
    <mergeCell ref="J214:K214"/>
    <mergeCell ref="E205:L205"/>
    <mergeCell ref="E206:K206"/>
    <mergeCell ref="E207:L207"/>
    <mergeCell ref="E208:K208"/>
    <mergeCell ref="E209:L209"/>
    <mergeCell ref="E210:K210"/>
    <mergeCell ref="E201:I201"/>
    <mergeCell ref="J201:K201"/>
    <mergeCell ref="E202:I202"/>
    <mergeCell ref="J202:K202"/>
    <mergeCell ref="E203:L203"/>
    <mergeCell ref="E204:K204"/>
    <mergeCell ref="E197:I197"/>
    <mergeCell ref="J197:K197"/>
    <mergeCell ref="E198:I198"/>
    <mergeCell ref="J198:K198"/>
    <mergeCell ref="E199:J199"/>
    <mergeCell ref="E200:I200"/>
    <mergeCell ref="J200:K200"/>
    <mergeCell ref="E193:I193"/>
    <mergeCell ref="J193:K193"/>
    <mergeCell ref="E194:I194"/>
    <mergeCell ref="J194:K194"/>
    <mergeCell ref="E195:J195"/>
    <mergeCell ref="E196:I196"/>
    <mergeCell ref="J196:K196"/>
    <mergeCell ref="E188:L188"/>
    <mergeCell ref="E189:K189"/>
    <mergeCell ref="E190:J190"/>
    <mergeCell ref="E191:I191"/>
    <mergeCell ref="J191:K191"/>
    <mergeCell ref="E192:I192"/>
    <mergeCell ref="J192:K192"/>
    <mergeCell ref="E182:L182"/>
    <mergeCell ref="E183:K183"/>
    <mergeCell ref="E184:L184"/>
    <mergeCell ref="E185:K185"/>
    <mergeCell ref="E186:L186"/>
    <mergeCell ref="E187:K187"/>
    <mergeCell ref="E178:J178"/>
    <mergeCell ref="E179:I179"/>
    <mergeCell ref="J179:K179"/>
    <mergeCell ref="E180:I180"/>
    <mergeCell ref="J180:K180"/>
    <mergeCell ref="E181:I181"/>
    <mergeCell ref="J181:K181"/>
    <mergeCell ref="E174:J174"/>
    <mergeCell ref="E175:I175"/>
    <mergeCell ref="J175:K175"/>
    <mergeCell ref="E176:I176"/>
    <mergeCell ref="J176:K176"/>
    <mergeCell ref="E177:I177"/>
    <mergeCell ref="J177:K177"/>
    <mergeCell ref="E171:I171"/>
    <mergeCell ref="J171:K171"/>
    <mergeCell ref="E172:I172"/>
    <mergeCell ref="J172:K172"/>
    <mergeCell ref="E173:I173"/>
    <mergeCell ref="J173:K173"/>
    <mergeCell ref="E168:I168"/>
    <mergeCell ref="J168:K168"/>
    <mergeCell ref="E169:I169"/>
    <mergeCell ref="J169:K169"/>
    <mergeCell ref="E170:I170"/>
    <mergeCell ref="J170:K170"/>
    <mergeCell ref="E165:I165"/>
    <mergeCell ref="J165:K165"/>
    <mergeCell ref="E166:I166"/>
    <mergeCell ref="J166:K166"/>
    <mergeCell ref="E167:I167"/>
    <mergeCell ref="J167:K167"/>
    <mergeCell ref="E162:I162"/>
    <mergeCell ref="J162:K162"/>
    <mergeCell ref="E163:I163"/>
    <mergeCell ref="J163:K163"/>
    <mergeCell ref="E164:I164"/>
    <mergeCell ref="J164:K164"/>
    <mergeCell ref="E158:I158"/>
    <mergeCell ref="J158:K158"/>
    <mergeCell ref="E159:I159"/>
    <mergeCell ref="J159:K159"/>
    <mergeCell ref="E160:J160"/>
    <mergeCell ref="E161:I161"/>
    <mergeCell ref="J161:K161"/>
    <mergeCell ref="E152:L152"/>
    <mergeCell ref="E153:K153"/>
    <mergeCell ref="E154:L154"/>
    <mergeCell ref="E155:K155"/>
    <mergeCell ref="E156:J156"/>
    <mergeCell ref="E157:I157"/>
    <mergeCell ref="J157:K157"/>
    <mergeCell ref="E147:I147"/>
    <mergeCell ref="J147:K147"/>
    <mergeCell ref="E148:L148"/>
    <mergeCell ref="E149:K149"/>
    <mergeCell ref="E150:L150"/>
    <mergeCell ref="E151:K151"/>
    <mergeCell ref="E144:I144"/>
    <mergeCell ref="J144:K144"/>
    <mergeCell ref="E145:I145"/>
    <mergeCell ref="J145:K145"/>
    <mergeCell ref="E146:I146"/>
    <mergeCell ref="J146:K146"/>
    <mergeCell ref="E140:I140"/>
    <mergeCell ref="J140:K140"/>
    <mergeCell ref="E141:I141"/>
    <mergeCell ref="J141:K141"/>
    <mergeCell ref="E142:J142"/>
    <mergeCell ref="E143:I143"/>
    <mergeCell ref="J143:K143"/>
    <mergeCell ref="E134:L134"/>
    <mergeCell ref="E135:K135"/>
    <mergeCell ref="E136:L136"/>
    <mergeCell ref="E137:K137"/>
    <mergeCell ref="E138:J138"/>
    <mergeCell ref="E139:I139"/>
    <mergeCell ref="J139:K139"/>
    <mergeCell ref="E129:I129"/>
    <mergeCell ref="J129:K129"/>
    <mergeCell ref="E130:L130"/>
    <mergeCell ref="E131:K131"/>
    <mergeCell ref="E132:L132"/>
    <mergeCell ref="E133:K133"/>
    <mergeCell ref="E126:I126"/>
    <mergeCell ref="J126:K126"/>
    <mergeCell ref="E127:I127"/>
    <mergeCell ref="J127:K127"/>
    <mergeCell ref="E128:I128"/>
    <mergeCell ref="J128:K128"/>
    <mergeCell ref="E123:I123"/>
    <mergeCell ref="J123:K123"/>
    <mergeCell ref="E124:I124"/>
    <mergeCell ref="J124:K124"/>
    <mergeCell ref="E125:I125"/>
    <mergeCell ref="J125:K125"/>
    <mergeCell ref="E119:J119"/>
    <mergeCell ref="E120:I120"/>
    <mergeCell ref="J120:K120"/>
    <mergeCell ref="E121:I121"/>
    <mergeCell ref="J121:K121"/>
    <mergeCell ref="E122:I122"/>
    <mergeCell ref="J122:K122"/>
    <mergeCell ref="E115:J115"/>
    <mergeCell ref="E116:I116"/>
    <mergeCell ref="J116:K116"/>
    <mergeCell ref="E117:I117"/>
    <mergeCell ref="J117:K117"/>
    <mergeCell ref="E118:I118"/>
    <mergeCell ref="J118:K118"/>
    <mergeCell ref="E111:J111"/>
    <mergeCell ref="E112:I112"/>
    <mergeCell ref="J112:K112"/>
    <mergeCell ref="E113:I113"/>
    <mergeCell ref="J113:K113"/>
    <mergeCell ref="E114:H114"/>
    <mergeCell ref="I114:L114"/>
    <mergeCell ref="E107:J107"/>
    <mergeCell ref="E108:I108"/>
    <mergeCell ref="J108:K108"/>
    <mergeCell ref="E109:I109"/>
    <mergeCell ref="J109:K109"/>
    <mergeCell ref="E110:I110"/>
    <mergeCell ref="J110:K110"/>
    <mergeCell ref="E103:I103"/>
    <mergeCell ref="J103:K103"/>
    <mergeCell ref="E104:L104"/>
    <mergeCell ref="E105:K105"/>
    <mergeCell ref="E106:I106"/>
    <mergeCell ref="J106:K106"/>
    <mergeCell ref="E100:I100"/>
    <mergeCell ref="J100:K100"/>
    <mergeCell ref="E101:I101"/>
    <mergeCell ref="J101:K101"/>
    <mergeCell ref="E102:I102"/>
    <mergeCell ref="J102:K102"/>
    <mergeCell ref="E96:J96"/>
    <mergeCell ref="E97:I97"/>
    <mergeCell ref="J97:K97"/>
    <mergeCell ref="E98:I98"/>
    <mergeCell ref="J98:K98"/>
    <mergeCell ref="E99:J99"/>
    <mergeCell ref="E92:I92"/>
    <mergeCell ref="J92:K92"/>
    <mergeCell ref="E93:J93"/>
    <mergeCell ref="E94:J94"/>
    <mergeCell ref="E95:I95"/>
    <mergeCell ref="J95:K95"/>
    <mergeCell ref="E87:I87"/>
    <mergeCell ref="J87:K87"/>
    <mergeCell ref="E88:J88"/>
    <mergeCell ref="E89:J89"/>
    <mergeCell ref="E90:J90"/>
    <mergeCell ref="E91:I91"/>
    <mergeCell ref="J91:K91"/>
    <mergeCell ref="E83:J83"/>
    <mergeCell ref="E84:I84"/>
    <mergeCell ref="J84:K84"/>
    <mergeCell ref="E85:I85"/>
    <mergeCell ref="J85:K85"/>
    <mergeCell ref="E86:I86"/>
    <mergeCell ref="J86:K86"/>
    <mergeCell ref="E80:I80"/>
    <mergeCell ref="J80:K80"/>
    <mergeCell ref="E81:I81"/>
    <mergeCell ref="J81:K81"/>
    <mergeCell ref="E82:I82"/>
    <mergeCell ref="J82:K82"/>
    <mergeCell ref="E76:I76"/>
    <mergeCell ref="J76:K76"/>
    <mergeCell ref="E77:J77"/>
    <mergeCell ref="E78:I78"/>
    <mergeCell ref="J78:K78"/>
    <mergeCell ref="E79:J79"/>
    <mergeCell ref="E73:I73"/>
    <mergeCell ref="J73:K73"/>
    <mergeCell ref="E74:I74"/>
    <mergeCell ref="J74:K74"/>
    <mergeCell ref="E75:I75"/>
    <mergeCell ref="J75:K75"/>
    <mergeCell ref="E70:I70"/>
    <mergeCell ref="J70:K70"/>
    <mergeCell ref="E71:I71"/>
    <mergeCell ref="J71:K71"/>
    <mergeCell ref="E72:I72"/>
    <mergeCell ref="J72:K72"/>
    <mergeCell ref="E66:I66"/>
    <mergeCell ref="J66:K66"/>
    <mergeCell ref="E67:J67"/>
    <mergeCell ref="E68:I68"/>
    <mergeCell ref="J68:K68"/>
    <mergeCell ref="E69:I69"/>
    <mergeCell ref="J69:K69"/>
    <mergeCell ref="E62:J62"/>
    <mergeCell ref="E63:I63"/>
    <mergeCell ref="J63:K63"/>
    <mergeCell ref="E64:I64"/>
    <mergeCell ref="J64:K64"/>
    <mergeCell ref="E65:I65"/>
    <mergeCell ref="J65:K65"/>
    <mergeCell ref="E58:J58"/>
    <mergeCell ref="E59:I59"/>
    <mergeCell ref="J59:K59"/>
    <mergeCell ref="E60:I60"/>
    <mergeCell ref="J60:K60"/>
    <mergeCell ref="E61:I61"/>
    <mergeCell ref="J61:K61"/>
    <mergeCell ref="E54:J54"/>
    <mergeCell ref="E55:I55"/>
    <mergeCell ref="J55:K55"/>
    <mergeCell ref="E56:I56"/>
    <mergeCell ref="J56:K56"/>
    <mergeCell ref="E57:J57"/>
    <mergeCell ref="E48:K48"/>
    <mergeCell ref="E49:L49"/>
    <mergeCell ref="E50:K50"/>
    <mergeCell ref="E51:L51"/>
    <mergeCell ref="E52:K52"/>
    <mergeCell ref="E53:I53"/>
    <mergeCell ref="J53:K53"/>
    <mergeCell ref="E42:L42"/>
    <mergeCell ref="E43:K43"/>
    <mergeCell ref="E44:L44"/>
    <mergeCell ref="E45:K45"/>
    <mergeCell ref="E46:J46"/>
    <mergeCell ref="E47:L47"/>
    <mergeCell ref="E38:I38"/>
    <mergeCell ref="J38:K38"/>
    <mergeCell ref="E39:I39"/>
    <mergeCell ref="J39:K39"/>
    <mergeCell ref="E40:J40"/>
    <mergeCell ref="E41:I41"/>
    <mergeCell ref="J41:K41"/>
    <mergeCell ref="E34:I34"/>
    <mergeCell ref="J34:K34"/>
    <mergeCell ref="E35:J35"/>
    <mergeCell ref="E36:I36"/>
    <mergeCell ref="J36:K36"/>
    <mergeCell ref="E37:I37"/>
    <mergeCell ref="J37:K37"/>
    <mergeCell ref="E31:I31"/>
    <mergeCell ref="J31:K31"/>
    <mergeCell ref="E32:I32"/>
    <mergeCell ref="J32:K32"/>
    <mergeCell ref="E33:I33"/>
    <mergeCell ref="J33:K33"/>
    <mergeCell ref="E27:I27"/>
    <mergeCell ref="J27:K27"/>
    <mergeCell ref="E28:J28"/>
    <mergeCell ref="E29:I29"/>
    <mergeCell ref="J29:K29"/>
    <mergeCell ref="E30:I30"/>
    <mergeCell ref="J30:K30"/>
    <mergeCell ref="E24:I24"/>
    <mergeCell ref="J24:K24"/>
    <mergeCell ref="E25:I25"/>
    <mergeCell ref="J25:K25"/>
    <mergeCell ref="E26:I26"/>
    <mergeCell ref="J26:K26"/>
    <mergeCell ref="E20:I20"/>
    <mergeCell ref="J20:K20"/>
    <mergeCell ref="E21:J21"/>
    <mergeCell ref="E22:J22"/>
    <mergeCell ref="E23:I23"/>
    <mergeCell ref="J23:K23"/>
    <mergeCell ref="E16:J16"/>
    <mergeCell ref="E17:I17"/>
    <mergeCell ref="J17:K17"/>
    <mergeCell ref="E18:I18"/>
    <mergeCell ref="J18:K18"/>
    <mergeCell ref="E19:I19"/>
    <mergeCell ref="J19:K19"/>
    <mergeCell ref="E12:J12"/>
    <mergeCell ref="E13:J13"/>
    <mergeCell ref="E14:I14"/>
    <mergeCell ref="J14:K14"/>
    <mergeCell ref="E15:I15"/>
    <mergeCell ref="J15:K15"/>
    <mergeCell ref="D9:G9"/>
    <mergeCell ref="H9:L9"/>
    <mergeCell ref="D10:G10"/>
    <mergeCell ref="H10:L10"/>
    <mergeCell ref="E11:H11"/>
    <mergeCell ref="I11:L11"/>
    <mergeCell ref="A5:L5"/>
    <mergeCell ref="A6:D6"/>
    <mergeCell ref="E6:L6"/>
    <mergeCell ref="B7:E7"/>
    <mergeCell ref="F7:L7"/>
    <mergeCell ref="C8:F8"/>
    <mergeCell ref="G8:L8"/>
    <mergeCell ref="A1:M1"/>
    <mergeCell ref="N1:O1"/>
    <mergeCell ref="A2:M2"/>
    <mergeCell ref="N2:O2"/>
    <mergeCell ref="A3:L3"/>
    <mergeCell ref="M3:M4"/>
    <mergeCell ref="N3:N4"/>
    <mergeCell ref="O3:O4"/>
    <mergeCell ref="A4:L4"/>
  </mergeCells>
  <phoneticPr fontId="2" type="noConversion"/>
  <pageMargins left="0.39370078740157483" right="0.39370078740157483" top="0.19685039370078741" bottom="0.19685039370078741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87"/>
  <sheetViews>
    <sheetView showGridLines="0" topLeftCell="D31" zoomScaleNormal="100" workbookViewId="0">
      <selection activeCell="J49" sqref="J49:K49"/>
    </sheetView>
  </sheetViews>
  <sheetFormatPr defaultRowHeight="20.100000000000001" customHeight="1"/>
  <cols>
    <col min="1" max="8" width="1.625" style="98" customWidth="1"/>
    <col min="9" max="9" width="37.625" style="98" customWidth="1"/>
    <col min="10" max="10" width="23.625" style="98" customWidth="1"/>
    <col min="11" max="11" width="2.625" style="98" customWidth="1"/>
    <col min="12" max="12" width="10.625" style="98" customWidth="1"/>
    <col min="13" max="14" width="12.625" style="98" customWidth="1"/>
    <col min="15" max="15" width="12.625" style="166" customWidth="1"/>
    <col min="16" max="16" width="0.875" style="181" hidden="1" customWidth="1"/>
    <col min="17" max="17" width="60.25" style="98" customWidth="1"/>
    <col min="18" max="234" width="9" style="98"/>
    <col min="235" max="235" width="1.5" style="98" customWidth="1"/>
    <col min="236" max="236" width="0.75" style="98" customWidth="1"/>
    <col min="237" max="242" width="1" style="98" customWidth="1"/>
    <col min="243" max="243" width="0.5" style="98" customWidth="1"/>
    <col min="244" max="244" width="31.25" style="98" customWidth="1"/>
    <col min="245" max="245" width="33.5" style="98" customWidth="1"/>
    <col min="246" max="246" width="2.625" style="98" customWidth="1"/>
    <col min="247" max="247" width="10.375" style="98" customWidth="1"/>
    <col min="248" max="248" width="10.875" style="98" customWidth="1"/>
    <col min="249" max="249" width="14.25" style="98" customWidth="1"/>
    <col min="250" max="250" width="10.875" style="98" customWidth="1"/>
    <col min="251" max="257" width="0" style="98" hidden="1" customWidth="1"/>
    <col min="258" max="258" width="9" style="98"/>
    <col min="259" max="259" width="10.875" style="98" bestFit="1" customWidth="1"/>
    <col min="260" max="490" width="9" style="98"/>
    <col min="491" max="491" width="1.5" style="98" customWidth="1"/>
    <col min="492" max="492" width="0.75" style="98" customWidth="1"/>
    <col min="493" max="498" width="1" style="98" customWidth="1"/>
    <col min="499" max="499" width="0.5" style="98" customWidth="1"/>
    <col min="500" max="500" width="31.25" style="98" customWidth="1"/>
    <col min="501" max="501" width="33.5" style="98" customWidth="1"/>
    <col min="502" max="502" width="2.625" style="98" customWidth="1"/>
    <col min="503" max="503" width="10.375" style="98" customWidth="1"/>
    <col min="504" max="504" width="10.875" style="98" customWidth="1"/>
    <col min="505" max="505" width="14.25" style="98" customWidth="1"/>
    <col min="506" max="506" width="10.875" style="98" customWidth="1"/>
    <col min="507" max="513" width="0" style="98" hidden="1" customWidth="1"/>
    <col min="514" max="514" width="9" style="98"/>
    <col min="515" max="515" width="10.875" style="98" bestFit="1" customWidth="1"/>
    <col min="516" max="746" width="9" style="98"/>
    <col min="747" max="747" width="1.5" style="98" customWidth="1"/>
    <col min="748" max="748" width="0.75" style="98" customWidth="1"/>
    <col min="749" max="754" width="1" style="98" customWidth="1"/>
    <col min="755" max="755" width="0.5" style="98" customWidth="1"/>
    <col min="756" max="756" width="31.25" style="98" customWidth="1"/>
    <col min="757" max="757" width="33.5" style="98" customWidth="1"/>
    <col min="758" max="758" width="2.625" style="98" customWidth="1"/>
    <col min="759" max="759" width="10.375" style="98" customWidth="1"/>
    <col min="760" max="760" width="10.875" style="98" customWidth="1"/>
    <col min="761" max="761" width="14.25" style="98" customWidth="1"/>
    <col min="762" max="762" width="10.875" style="98" customWidth="1"/>
    <col min="763" max="769" width="0" style="98" hidden="1" customWidth="1"/>
    <col min="770" max="770" width="9" style="98"/>
    <col min="771" max="771" width="10.875" style="98" bestFit="1" customWidth="1"/>
    <col min="772" max="1002" width="9" style="98"/>
    <col min="1003" max="1003" width="1.5" style="98" customWidth="1"/>
    <col min="1004" max="1004" width="0.75" style="98" customWidth="1"/>
    <col min="1005" max="1010" width="1" style="98" customWidth="1"/>
    <col min="1011" max="1011" width="0.5" style="98" customWidth="1"/>
    <col min="1012" max="1012" width="31.25" style="98" customWidth="1"/>
    <col min="1013" max="1013" width="33.5" style="98" customWidth="1"/>
    <col min="1014" max="1014" width="2.625" style="98" customWidth="1"/>
    <col min="1015" max="1015" width="10.375" style="98" customWidth="1"/>
    <col min="1016" max="1016" width="10.875" style="98" customWidth="1"/>
    <col min="1017" max="1017" width="14.25" style="98" customWidth="1"/>
    <col min="1018" max="1018" width="10.875" style="98" customWidth="1"/>
    <col min="1019" max="1025" width="0" style="98" hidden="1" customWidth="1"/>
    <col min="1026" max="1026" width="9" style="98"/>
    <col min="1027" max="1027" width="10.875" style="98" bestFit="1" customWidth="1"/>
    <col min="1028" max="1258" width="9" style="98"/>
    <col min="1259" max="1259" width="1.5" style="98" customWidth="1"/>
    <col min="1260" max="1260" width="0.75" style="98" customWidth="1"/>
    <col min="1261" max="1266" width="1" style="98" customWidth="1"/>
    <col min="1267" max="1267" width="0.5" style="98" customWidth="1"/>
    <col min="1268" max="1268" width="31.25" style="98" customWidth="1"/>
    <col min="1269" max="1269" width="33.5" style="98" customWidth="1"/>
    <col min="1270" max="1270" width="2.625" style="98" customWidth="1"/>
    <col min="1271" max="1271" width="10.375" style="98" customWidth="1"/>
    <col min="1272" max="1272" width="10.875" style="98" customWidth="1"/>
    <col min="1273" max="1273" width="14.25" style="98" customWidth="1"/>
    <col min="1274" max="1274" width="10.875" style="98" customWidth="1"/>
    <col min="1275" max="1281" width="0" style="98" hidden="1" customWidth="1"/>
    <col min="1282" max="1282" width="9" style="98"/>
    <col min="1283" max="1283" width="10.875" style="98" bestFit="1" customWidth="1"/>
    <col min="1284" max="1514" width="9" style="98"/>
    <col min="1515" max="1515" width="1.5" style="98" customWidth="1"/>
    <col min="1516" max="1516" width="0.75" style="98" customWidth="1"/>
    <col min="1517" max="1522" width="1" style="98" customWidth="1"/>
    <col min="1523" max="1523" width="0.5" style="98" customWidth="1"/>
    <col min="1524" max="1524" width="31.25" style="98" customWidth="1"/>
    <col min="1525" max="1525" width="33.5" style="98" customWidth="1"/>
    <col min="1526" max="1526" width="2.625" style="98" customWidth="1"/>
    <col min="1527" max="1527" width="10.375" style="98" customWidth="1"/>
    <col min="1528" max="1528" width="10.875" style="98" customWidth="1"/>
    <col min="1529" max="1529" width="14.25" style="98" customWidth="1"/>
    <col min="1530" max="1530" width="10.875" style="98" customWidth="1"/>
    <col min="1531" max="1537" width="0" style="98" hidden="1" customWidth="1"/>
    <col min="1538" max="1538" width="9" style="98"/>
    <col min="1539" max="1539" width="10.875" style="98" bestFit="1" customWidth="1"/>
    <col min="1540" max="1770" width="9" style="98"/>
    <col min="1771" max="1771" width="1.5" style="98" customWidth="1"/>
    <col min="1772" max="1772" width="0.75" style="98" customWidth="1"/>
    <col min="1773" max="1778" width="1" style="98" customWidth="1"/>
    <col min="1779" max="1779" width="0.5" style="98" customWidth="1"/>
    <col min="1780" max="1780" width="31.25" style="98" customWidth="1"/>
    <col min="1781" max="1781" width="33.5" style="98" customWidth="1"/>
    <col min="1782" max="1782" width="2.625" style="98" customWidth="1"/>
    <col min="1783" max="1783" width="10.375" style="98" customWidth="1"/>
    <col min="1784" max="1784" width="10.875" style="98" customWidth="1"/>
    <col min="1785" max="1785" width="14.25" style="98" customWidth="1"/>
    <col min="1786" max="1786" width="10.875" style="98" customWidth="1"/>
    <col min="1787" max="1793" width="0" style="98" hidden="1" customWidth="1"/>
    <col min="1794" max="1794" width="9" style="98"/>
    <col min="1795" max="1795" width="10.875" style="98" bestFit="1" customWidth="1"/>
    <col min="1796" max="2026" width="9" style="98"/>
    <col min="2027" max="2027" width="1.5" style="98" customWidth="1"/>
    <col min="2028" max="2028" width="0.75" style="98" customWidth="1"/>
    <col min="2029" max="2034" width="1" style="98" customWidth="1"/>
    <col min="2035" max="2035" width="0.5" style="98" customWidth="1"/>
    <col min="2036" max="2036" width="31.25" style="98" customWidth="1"/>
    <col min="2037" max="2037" width="33.5" style="98" customWidth="1"/>
    <col min="2038" max="2038" width="2.625" style="98" customWidth="1"/>
    <col min="2039" max="2039" width="10.375" style="98" customWidth="1"/>
    <col min="2040" max="2040" width="10.875" style="98" customWidth="1"/>
    <col min="2041" max="2041" width="14.25" style="98" customWidth="1"/>
    <col min="2042" max="2042" width="10.875" style="98" customWidth="1"/>
    <col min="2043" max="2049" width="0" style="98" hidden="1" customWidth="1"/>
    <col min="2050" max="2050" width="9" style="98"/>
    <col min="2051" max="2051" width="10.875" style="98" bestFit="1" customWidth="1"/>
    <col min="2052" max="2282" width="9" style="98"/>
    <col min="2283" max="2283" width="1.5" style="98" customWidth="1"/>
    <col min="2284" max="2284" width="0.75" style="98" customWidth="1"/>
    <col min="2285" max="2290" width="1" style="98" customWidth="1"/>
    <col min="2291" max="2291" width="0.5" style="98" customWidth="1"/>
    <col min="2292" max="2292" width="31.25" style="98" customWidth="1"/>
    <col min="2293" max="2293" width="33.5" style="98" customWidth="1"/>
    <col min="2294" max="2294" width="2.625" style="98" customWidth="1"/>
    <col min="2295" max="2295" width="10.375" style="98" customWidth="1"/>
    <col min="2296" max="2296" width="10.875" style="98" customWidth="1"/>
    <col min="2297" max="2297" width="14.25" style="98" customWidth="1"/>
    <col min="2298" max="2298" width="10.875" style="98" customWidth="1"/>
    <col min="2299" max="2305" width="0" style="98" hidden="1" customWidth="1"/>
    <col min="2306" max="2306" width="9" style="98"/>
    <col min="2307" max="2307" width="10.875" style="98" bestFit="1" customWidth="1"/>
    <col min="2308" max="2538" width="9" style="98"/>
    <col min="2539" max="2539" width="1.5" style="98" customWidth="1"/>
    <col min="2540" max="2540" width="0.75" style="98" customWidth="1"/>
    <col min="2541" max="2546" width="1" style="98" customWidth="1"/>
    <col min="2547" max="2547" width="0.5" style="98" customWidth="1"/>
    <col min="2548" max="2548" width="31.25" style="98" customWidth="1"/>
    <col min="2549" max="2549" width="33.5" style="98" customWidth="1"/>
    <col min="2550" max="2550" width="2.625" style="98" customWidth="1"/>
    <col min="2551" max="2551" width="10.375" style="98" customWidth="1"/>
    <col min="2552" max="2552" width="10.875" style="98" customWidth="1"/>
    <col min="2553" max="2553" width="14.25" style="98" customWidth="1"/>
    <col min="2554" max="2554" width="10.875" style="98" customWidth="1"/>
    <col min="2555" max="2561" width="0" style="98" hidden="1" customWidth="1"/>
    <col min="2562" max="2562" width="9" style="98"/>
    <col min="2563" max="2563" width="10.875" style="98" bestFit="1" customWidth="1"/>
    <col min="2564" max="2794" width="9" style="98"/>
    <col min="2795" max="2795" width="1.5" style="98" customWidth="1"/>
    <col min="2796" max="2796" width="0.75" style="98" customWidth="1"/>
    <col min="2797" max="2802" width="1" style="98" customWidth="1"/>
    <col min="2803" max="2803" width="0.5" style="98" customWidth="1"/>
    <col min="2804" max="2804" width="31.25" style="98" customWidth="1"/>
    <col min="2805" max="2805" width="33.5" style="98" customWidth="1"/>
    <col min="2806" max="2806" width="2.625" style="98" customWidth="1"/>
    <col min="2807" max="2807" width="10.375" style="98" customWidth="1"/>
    <col min="2808" max="2808" width="10.875" style="98" customWidth="1"/>
    <col min="2809" max="2809" width="14.25" style="98" customWidth="1"/>
    <col min="2810" max="2810" width="10.875" style="98" customWidth="1"/>
    <col min="2811" max="2817" width="0" style="98" hidden="1" customWidth="1"/>
    <col min="2818" max="2818" width="9" style="98"/>
    <col min="2819" max="2819" width="10.875" style="98" bestFit="1" customWidth="1"/>
    <col min="2820" max="3050" width="9" style="98"/>
    <col min="3051" max="3051" width="1.5" style="98" customWidth="1"/>
    <col min="3052" max="3052" width="0.75" style="98" customWidth="1"/>
    <col min="3053" max="3058" width="1" style="98" customWidth="1"/>
    <col min="3059" max="3059" width="0.5" style="98" customWidth="1"/>
    <col min="3060" max="3060" width="31.25" style="98" customWidth="1"/>
    <col min="3061" max="3061" width="33.5" style="98" customWidth="1"/>
    <col min="3062" max="3062" width="2.625" style="98" customWidth="1"/>
    <col min="3063" max="3063" width="10.375" style="98" customWidth="1"/>
    <col min="3064" max="3064" width="10.875" style="98" customWidth="1"/>
    <col min="3065" max="3065" width="14.25" style="98" customWidth="1"/>
    <col min="3066" max="3066" width="10.875" style="98" customWidth="1"/>
    <col min="3067" max="3073" width="0" style="98" hidden="1" customWidth="1"/>
    <col min="3074" max="3074" width="9" style="98"/>
    <col min="3075" max="3075" width="10.875" style="98" bestFit="1" customWidth="1"/>
    <col min="3076" max="3306" width="9" style="98"/>
    <col min="3307" max="3307" width="1.5" style="98" customWidth="1"/>
    <col min="3308" max="3308" width="0.75" style="98" customWidth="1"/>
    <col min="3309" max="3314" width="1" style="98" customWidth="1"/>
    <col min="3315" max="3315" width="0.5" style="98" customWidth="1"/>
    <col min="3316" max="3316" width="31.25" style="98" customWidth="1"/>
    <col min="3317" max="3317" width="33.5" style="98" customWidth="1"/>
    <col min="3318" max="3318" width="2.625" style="98" customWidth="1"/>
    <col min="3319" max="3319" width="10.375" style="98" customWidth="1"/>
    <col min="3320" max="3320" width="10.875" style="98" customWidth="1"/>
    <col min="3321" max="3321" width="14.25" style="98" customWidth="1"/>
    <col min="3322" max="3322" width="10.875" style="98" customWidth="1"/>
    <col min="3323" max="3329" width="0" style="98" hidden="1" customWidth="1"/>
    <col min="3330" max="3330" width="9" style="98"/>
    <col min="3331" max="3331" width="10.875" style="98" bestFit="1" customWidth="1"/>
    <col min="3332" max="3562" width="9" style="98"/>
    <col min="3563" max="3563" width="1.5" style="98" customWidth="1"/>
    <col min="3564" max="3564" width="0.75" style="98" customWidth="1"/>
    <col min="3565" max="3570" width="1" style="98" customWidth="1"/>
    <col min="3571" max="3571" width="0.5" style="98" customWidth="1"/>
    <col min="3572" max="3572" width="31.25" style="98" customWidth="1"/>
    <col min="3573" max="3573" width="33.5" style="98" customWidth="1"/>
    <col min="3574" max="3574" width="2.625" style="98" customWidth="1"/>
    <col min="3575" max="3575" width="10.375" style="98" customWidth="1"/>
    <col min="3576" max="3576" width="10.875" style="98" customWidth="1"/>
    <col min="3577" max="3577" width="14.25" style="98" customWidth="1"/>
    <col min="3578" max="3578" width="10.875" style="98" customWidth="1"/>
    <col min="3579" max="3585" width="0" style="98" hidden="1" customWidth="1"/>
    <col min="3586" max="3586" width="9" style="98"/>
    <col min="3587" max="3587" width="10.875" style="98" bestFit="1" customWidth="1"/>
    <col min="3588" max="3818" width="9" style="98"/>
    <col min="3819" max="3819" width="1.5" style="98" customWidth="1"/>
    <col min="3820" max="3820" width="0.75" style="98" customWidth="1"/>
    <col min="3821" max="3826" width="1" style="98" customWidth="1"/>
    <col min="3827" max="3827" width="0.5" style="98" customWidth="1"/>
    <col min="3828" max="3828" width="31.25" style="98" customWidth="1"/>
    <col min="3829" max="3829" width="33.5" style="98" customWidth="1"/>
    <col min="3830" max="3830" width="2.625" style="98" customWidth="1"/>
    <col min="3831" max="3831" width="10.375" style="98" customWidth="1"/>
    <col min="3832" max="3832" width="10.875" style="98" customWidth="1"/>
    <col min="3833" max="3833" width="14.25" style="98" customWidth="1"/>
    <col min="3834" max="3834" width="10.875" style="98" customWidth="1"/>
    <col min="3835" max="3841" width="0" style="98" hidden="1" customWidth="1"/>
    <col min="3842" max="3842" width="9" style="98"/>
    <col min="3843" max="3843" width="10.875" style="98" bestFit="1" customWidth="1"/>
    <col min="3844" max="4074" width="9" style="98"/>
    <col min="4075" max="4075" width="1.5" style="98" customWidth="1"/>
    <col min="4076" max="4076" width="0.75" style="98" customWidth="1"/>
    <col min="4077" max="4082" width="1" style="98" customWidth="1"/>
    <col min="4083" max="4083" width="0.5" style="98" customWidth="1"/>
    <col min="4084" max="4084" width="31.25" style="98" customWidth="1"/>
    <col min="4085" max="4085" width="33.5" style="98" customWidth="1"/>
    <col min="4086" max="4086" width="2.625" style="98" customWidth="1"/>
    <col min="4087" max="4087" width="10.375" style="98" customWidth="1"/>
    <col min="4088" max="4088" width="10.875" style="98" customWidth="1"/>
    <col min="4089" max="4089" width="14.25" style="98" customWidth="1"/>
    <col min="4090" max="4090" width="10.875" style="98" customWidth="1"/>
    <col min="4091" max="4097" width="0" style="98" hidden="1" customWidth="1"/>
    <col min="4098" max="4098" width="9" style="98"/>
    <col min="4099" max="4099" width="10.875" style="98" bestFit="1" customWidth="1"/>
    <col min="4100" max="4330" width="9" style="98"/>
    <col min="4331" max="4331" width="1.5" style="98" customWidth="1"/>
    <col min="4332" max="4332" width="0.75" style="98" customWidth="1"/>
    <col min="4333" max="4338" width="1" style="98" customWidth="1"/>
    <col min="4339" max="4339" width="0.5" style="98" customWidth="1"/>
    <col min="4340" max="4340" width="31.25" style="98" customWidth="1"/>
    <col min="4341" max="4341" width="33.5" style="98" customWidth="1"/>
    <col min="4342" max="4342" width="2.625" style="98" customWidth="1"/>
    <col min="4343" max="4343" width="10.375" style="98" customWidth="1"/>
    <col min="4344" max="4344" width="10.875" style="98" customWidth="1"/>
    <col min="4345" max="4345" width="14.25" style="98" customWidth="1"/>
    <col min="4346" max="4346" width="10.875" style="98" customWidth="1"/>
    <col min="4347" max="4353" width="0" style="98" hidden="1" customWidth="1"/>
    <col min="4354" max="4354" width="9" style="98"/>
    <col min="4355" max="4355" width="10.875" style="98" bestFit="1" customWidth="1"/>
    <col min="4356" max="4586" width="9" style="98"/>
    <col min="4587" max="4587" width="1.5" style="98" customWidth="1"/>
    <col min="4588" max="4588" width="0.75" style="98" customWidth="1"/>
    <col min="4589" max="4594" width="1" style="98" customWidth="1"/>
    <col min="4595" max="4595" width="0.5" style="98" customWidth="1"/>
    <col min="4596" max="4596" width="31.25" style="98" customWidth="1"/>
    <col min="4597" max="4597" width="33.5" style="98" customWidth="1"/>
    <col min="4598" max="4598" width="2.625" style="98" customWidth="1"/>
    <col min="4599" max="4599" width="10.375" style="98" customWidth="1"/>
    <col min="4600" max="4600" width="10.875" style="98" customWidth="1"/>
    <col min="4601" max="4601" width="14.25" style="98" customWidth="1"/>
    <col min="4602" max="4602" width="10.875" style="98" customWidth="1"/>
    <col min="4603" max="4609" width="0" style="98" hidden="1" customWidth="1"/>
    <col min="4610" max="4610" width="9" style="98"/>
    <col min="4611" max="4611" width="10.875" style="98" bestFit="1" customWidth="1"/>
    <col min="4612" max="4842" width="9" style="98"/>
    <col min="4843" max="4843" width="1.5" style="98" customWidth="1"/>
    <col min="4844" max="4844" width="0.75" style="98" customWidth="1"/>
    <col min="4845" max="4850" width="1" style="98" customWidth="1"/>
    <col min="4851" max="4851" width="0.5" style="98" customWidth="1"/>
    <col min="4852" max="4852" width="31.25" style="98" customWidth="1"/>
    <col min="4853" max="4853" width="33.5" style="98" customWidth="1"/>
    <col min="4854" max="4854" width="2.625" style="98" customWidth="1"/>
    <col min="4855" max="4855" width="10.375" style="98" customWidth="1"/>
    <col min="4856" max="4856" width="10.875" style="98" customWidth="1"/>
    <col min="4857" max="4857" width="14.25" style="98" customWidth="1"/>
    <col min="4858" max="4858" width="10.875" style="98" customWidth="1"/>
    <col min="4859" max="4865" width="0" style="98" hidden="1" customWidth="1"/>
    <col min="4866" max="4866" width="9" style="98"/>
    <col min="4867" max="4867" width="10.875" style="98" bestFit="1" customWidth="1"/>
    <col min="4868" max="5098" width="9" style="98"/>
    <col min="5099" max="5099" width="1.5" style="98" customWidth="1"/>
    <col min="5100" max="5100" width="0.75" style="98" customWidth="1"/>
    <col min="5101" max="5106" width="1" style="98" customWidth="1"/>
    <col min="5107" max="5107" width="0.5" style="98" customWidth="1"/>
    <col min="5108" max="5108" width="31.25" style="98" customWidth="1"/>
    <col min="5109" max="5109" width="33.5" style="98" customWidth="1"/>
    <col min="5110" max="5110" width="2.625" style="98" customWidth="1"/>
    <col min="5111" max="5111" width="10.375" style="98" customWidth="1"/>
    <col min="5112" max="5112" width="10.875" style="98" customWidth="1"/>
    <col min="5113" max="5113" width="14.25" style="98" customWidth="1"/>
    <col min="5114" max="5114" width="10.875" style="98" customWidth="1"/>
    <col min="5115" max="5121" width="0" style="98" hidden="1" customWidth="1"/>
    <col min="5122" max="5122" width="9" style="98"/>
    <col min="5123" max="5123" width="10.875" style="98" bestFit="1" customWidth="1"/>
    <col min="5124" max="5354" width="9" style="98"/>
    <col min="5355" max="5355" width="1.5" style="98" customWidth="1"/>
    <col min="5356" max="5356" width="0.75" style="98" customWidth="1"/>
    <col min="5357" max="5362" width="1" style="98" customWidth="1"/>
    <col min="5363" max="5363" width="0.5" style="98" customWidth="1"/>
    <col min="5364" max="5364" width="31.25" style="98" customWidth="1"/>
    <col min="5365" max="5365" width="33.5" style="98" customWidth="1"/>
    <col min="5366" max="5366" width="2.625" style="98" customWidth="1"/>
    <col min="5367" max="5367" width="10.375" style="98" customWidth="1"/>
    <col min="5368" max="5368" width="10.875" style="98" customWidth="1"/>
    <col min="5369" max="5369" width="14.25" style="98" customWidth="1"/>
    <col min="5370" max="5370" width="10.875" style="98" customWidth="1"/>
    <col min="5371" max="5377" width="0" style="98" hidden="1" customWidth="1"/>
    <col min="5378" max="5378" width="9" style="98"/>
    <col min="5379" max="5379" width="10.875" style="98" bestFit="1" customWidth="1"/>
    <col min="5380" max="5610" width="9" style="98"/>
    <col min="5611" max="5611" width="1.5" style="98" customWidth="1"/>
    <col min="5612" max="5612" width="0.75" style="98" customWidth="1"/>
    <col min="5613" max="5618" width="1" style="98" customWidth="1"/>
    <col min="5619" max="5619" width="0.5" style="98" customWidth="1"/>
    <col min="5620" max="5620" width="31.25" style="98" customWidth="1"/>
    <col min="5621" max="5621" width="33.5" style="98" customWidth="1"/>
    <col min="5622" max="5622" width="2.625" style="98" customWidth="1"/>
    <col min="5623" max="5623" width="10.375" style="98" customWidth="1"/>
    <col min="5624" max="5624" width="10.875" style="98" customWidth="1"/>
    <col min="5625" max="5625" width="14.25" style="98" customWidth="1"/>
    <col min="5626" max="5626" width="10.875" style="98" customWidth="1"/>
    <col min="5627" max="5633" width="0" style="98" hidden="1" customWidth="1"/>
    <col min="5634" max="5634" width="9" style="98"/>
    <col min="5635" max="5635" width="10.875" style="98" bestFit="1" customWidth="1"/>
    <col min="5636" max="5866" width="9" style="98"/>
    <col min="5867" max="5867" width="1.5" style="98" customWidth="1"/>
    <col min="5868" max="5868" width="0.75" style="98" customWidth="1"/>
    <col min="5869" max="5874" width="1" style="98" customWidth="1"/>
    <col min="5875" max="5875" width="0.5" style="98" customWidth="1"/>
    <col min="5876" max="5876" width="31.25" style="98" customWidth="1"/>
    <col min="5877" max="5877" width="33.5" style="98" customWidth="1"/>
    <col min="5878" max="5878" width="2.625" style="98" customWidth="1"/>
    <col min="5879" max="5879" width="10.375" style="98" customWidth="1"/>
    <col min="5880" max="5880" width="10.875" style="98" customWidth="1"/>
    <col min="5881" max="5881" width="14.25" style="98" customWidth="1"/>
    <col min="5882" max="5882" width="10.875" style="98" customWidth="1"/>
    <col min="5883" max="5889" width="0" style="98" hidden="1" customWidth="1"/>
    <col min="5890" max="5890" width="9" style="98"/>
    <col min="5891" max="5891" width="10.875" style="98" bestFit="1" customWidth="1"/>
    <col min="5892" max="6122" width="9" style="98"/>
    <col min="6123" max="6123" width="1.5" style="98" customWidth="1"/>
    <col min="6124" max="6124" width="0.75" style="98" customWidth="1"/>
    <col min="6125" max="6130" width="1" style="98" customWidth="1"/>
    <col min="6131" max="6131" width="0.5" style="98" customWidth="1"/>
    <col min="6132" max="6132" width="31.25" style="98" customWidth="1"/>
    <col min="6133" max="6133" width="33.5" style="98" customWidth="1"/>
    <col min="6134" max="6134" width="2.625" style="98" customWidth="1"/>
    <col min="6135" max="6135" width="10.375" style="98" customWidth="1"/>
    <col min="6136" max="6136" width="10.875" style="98" customWidth="1"/>
    <col min="6137" max="6137" width="14.25" style="98" customWidth="1"/>
    <col min="6138" max="6138" width="10.875" style="98" customWidth="1"/>
    <col min="6139" max="6145" width="0" style="98" hidden="1" customWidth="1"/>
    <col min="6146" max="6146" width="9" style="98"/>
    <col min="6147" max="6147" width="10.875" style="98" bestFit="1" customWidth="1"/>
    <col min="6148" max="6378" width="9" style="98"/>
    <col min="6379" max="6379" width="1.5" style="98" customWidth="1"/>
    <col min="6380" max="6380" width="0.75" style="98" customWidth="1"/>
    <col min="6381" max="6386" width="1" style="98" customWidth="1"/>
    <col min="6387" max="6387" width="0.5" style="98" customWidth="1"/>
    <col min="6388" max="6388" width="31.25" style="98" customWidth="1"/>
    <col min="6389" max="6389" width="33.5" style="98" customWidth="1"/>
    <col min="6390" max="6390" width="2.625" style="98" customWidth="1"/>
    <col min="6391" max="6391" width="10.375" style="98" customWidth="1"/>
    <col min="6392" max="6392" width="10.875" style="98" customWidth="1"/>
    <col min="6393" max="6393" width="14.25" style="98" customWidth="1"/>
    <col min="6394" max="6394" width="10.875" style="98" customWidth="1"/>
    <col min="6395" max="6401" width="0" style="98" hidden="1" customWidth="1"/>
    <col min="6402" max="6402" width="9" style="98"/>
    <col min="6403" max="6403" width="10.875" style="98" bestFit="1" customWidth="1"/>
    <col min="6404" max="6634" width="9" style="98"/>
    <col min="6635" max="6635" width="1.5" style="98" customWidth="1"/>
    <col min="6636" max="6636" width="0.75" style="98" customWidth="1"/>
    <col min="6637" max="6642" width="1" style="98" customWidth="1"/>
    <col min="6643" max="6643" width="0.5" style="98" customWidth="1"/>
    <col min="6644" max="6644" width="31.25" style="98" customWidth="1"/>
    <col min="6645" max="6645" width="33.5" style="98" customWidth="1"/>
    <col min="6646" max="6646" width="2.625" style="98" customWidth="1"/>
    <col min="6647" max="6647" width="10.375" style="98" customWidth="1"/>
    <col min="6648" max="6648" width="10.875" style="98" customWidth="1"/>
    <col min="6649" max="6649" width="14.25" style="98" customWidth="1"/>
    <col min="6650" max="6650" width="10.875" style="98" customWidth="1"/>
    <col min="6651" max="6657" width="0" style="98" hidden="1" customWidth="1"/>
    <col min="6658" max="6658" width="9" style="98"/>
    <col min="6659" max="6659" width="10.875" style="98" bestFit="1" customWidth="1"/>
    <col min="6660" max="6890" width="9" style="98"/>
    <col min="6891" max="6891" width="1.5" style="98" customWidth="1"/>
    <col min="6892" max="6892" width="0.75" style="98" customWidth="1"/>
    <col min="6893" max="6898" width="1" style="98" customWidth="1"/>
    <col min="6899" max="6899" width="0.5" style="98" customWidth="1"/>
    <col min="6900" max="6900" width="31.25" style="98" customWidth="1"/>
    <col min="6901" max="6901" width="33.5" style="98" customWidth="1"/>
    <col min="6902" max="6902" width="2.625" style="98" customWidth="1"/>
    <col min="6903" max="6903" width="10.375" style="98" customWidth="1"/>
    <col min="6904" max="6904" width="10.875" style="98" customWidth="1"/>
    <col min="6905" max="6905" width="14.25" style="98" customWidth="1"/>
    <col min="6906" max="6906" width="10.875" style="98" customWidth="1"/>
    <col min="6907" max="6913" width="0" style="98" hidden="1" customWidth="1"/>
    <col min="6914" max="6914" width="9" style="98"/>
    <col min="6915" max="6915" width="10.875" style="98" bestFit="1" customWidth="1"/>
    <col min="6916" max="7146" width="9" style="98"/>
    <col min="7147" max="7147" width="1.5" style="98" customWidth="1"/>
    <col min="7148" max="7148" width="0.75" style="98" customWidth="1"/>
    <col min="7149" max="7154" width="1" style="98" customWidth="1"/>
    <col min="7155" max="7155" width="0.5" style="98" customWidth="1"/>
    <col min="7156" max="7156" width="31.25" style="98" customWidth="1"/>
    <col min="7157" max="7157" width="33.5" style="98" customWidth="1"/>
    <col min="7158" max="7158" width="2.625" style="98" customWidth="1"/>
    <col min="7159" max="7159" width="10.375" style="98" customWidth="1"/>
    <col min="7160" max="7160" width="10.875" style="98" customWidth="1"/>
    <col min="7161" max="7161" width="14.25" style="98" customWidth="1"/>
    <col min="7162" max="7162" width="10.875" style="98" customWidth="1"/>
    <col min="7163" max="7169" width="0" style="98" hidden="1" customWidth="1"/>
    <col min="7170" max="7170" width="9" style="98"/>
    <col min="7171" max="7171" width="10.875" style="98" bestFit="1" customWidth="1"/>
    <col min="7172" max="7402" width="9" style="98"/>
    <col min="7403" max="7403" width="1.5" style="98" customWidth="1"/>
    <col min="7404" max="7404" width="0.75" style="98" customWidth="1"/>
    <col min="7405" max="7410" width="1" style="98" customWidth="1"/>
    <col min="7411" max="7411" width="0.5" style="98" customWidth="1"/>
    <col min="7412" max="7412" width="31.25" style="98" customWidth="1"/>
    <col min="7413" max="7413" width="33.5" style="98" customWidth="1"/>
    <col min="7414" max="7414" width="2.625" style="98" customWidth="1"/>
    <col min="7415" max="7415" width="10.375" style="98" customWidth="1"/>
    <col min="7416" max="7416" width="10.875" style="98" customWidth="1"/>
    <col min="7417" max="7417" width="14.25" style="98" customWidth="1"/>
    <col min="7418" max="7418" width="10.875" style="98" customWidth="1"/>
    <col min="7419" max="7425" width="0" style="98" hidden="1" customWidth="1"/>
    <col min="7426" max="7426" width="9" style="98"/>
    <col min="7427" max="7427" width="10.875" style="98" bestFit="1" customWidth="1"/>
    <col min="7428" max="7658" width="9" style="98"/>
    <col min="7659" max="7659" width="1.5" style="98" customWidth="1"/>
    <col min="7660" max="7660" width="0.75" style="98" customWidth="1"/>
    <col min="7661" max="7666" width="1" style="98" customWidth="1"/>
    <col min="7667" max="7667" width="0.5" style="98" customWidth="1"/>
    <col min="7668" max="7668" width="31.25" style="98" customWidth="1"/>
    <col min="7669" max="7669" width="33.5" style="98" customWidth="1"/>
    <col min="7670" max="7670" width="2.625" style="98" customWidth="1"/>
    <col min="7671" max="7671" width="10.375" style="98" customWidth="1"/>
    <col min="7672" max="7672" width="10.875" style="98" customWidth="1"/>
    <col min="7673" max="7673" width="14.25" style="98" customWidth="1"/>
    <col min="7674" max="7674" width="10.875" style="98" customWidth="1"/>
    <col min="7675" max="7681" width="0" style="98" hidden="1" customWidth="1"/>
    <col min="7682" max="7682" width="9" style="98"/>
    <col min="7683" max="7683" width="10.875" style="98" bestFit="1" customWidth="1"/>
    <col min="7684" max="7914" width="9" style="98"/>
    <col min="7915" max="7915" width="1.5" style="98" customWidth="1"/>
    <col min="7916" max="7916" width="0.75" style="98" customWidth="1"/>
    <col min="7917" max="7922" width="1" style="98" customWidth="1"/>
    <col min="7923" max="7923" width="0.5" style="98" customWidth="1"/>
    <col min="7924" max="7924" width="31.25" style="98" customWidth="1"/>
    <col min="7925" max="7925" width="33.5" style="98" customWidth="1"/>
    <col min="7926" max="7926" width="2.625" style="98" customWidth="1"/>
    <col min="7927" max="7927" width="10.375" style="98" customWidth="1"/>
    <col min="7928" max="7928" width="10.875" style="98" customWidth="1"/>
    <col min="7929" max="7929" width="14.25" style="98" customWidth="1"/>
    <col min="7930" max="7930" width="10.875" style="98" customWidth="1"/>
    <col min="7931" max="7937" width="0" style="98" hidden="1" customWidth="1"/>
    <col min="7938" max="7938" width="9" style="98"/>
    <col min="7939" max="7939" width="10.875" style="98" bestFit="1" customWidth="1"/>
    <col min="7940" max="8170" width="9" style="98"/>
    <col min="8171" max="8171" width="1.5" style="98" customWidth="1"/>
    <col min="8172" max="8172" width="0.75" style="98" customWidth="1"/>
    <col min="8173" max="8178" width="1" style="98" customWidth="1"/>
    <col min="8179" max="8179" width="0.5" style="98" customWidth="1"/>
    <col min="8180" max="8180" width="31.25" style="98" customWidth="1"/>
    <col min="8181" max="8181" width="33.5" style="98" customWidth="1"/>
    <col min="8182" max="8182" width="2.625" style="98" customWidth="1"/>
    <col min="8183" max="8183" width="10.375" style="98" customWidth="1"/>
    <col min="8184" max="8184" width="10.875" style="98" customWidth="1"/>
    <col min="8185" max="8185" width="14.25" style="98" customWidth="1"/>
    <col min="8186" max="8186" width="10.875" style="98" customWidth="1"/>
    <col min="8187" max="8193" width="0" style="98" hidden="1" customWidth="1"/>
    <col min="8194" max="8194" width="9" style="98"/>
    <col min="8195" max="8195" width="10.875" style="98" bestFit="1" customWidth="1"/>
    <col min="8196" max="8426" width="9" style="98"/>
    <col min="8427" max="8427" width="1.5" style="98" customWidth="1"/>
    <col min="8428" max="8428" width="0.75" style="98" customWidth="1"/>
    <col min="8429" max="8434" width="1" style="98" customWidth="1"/>
    <col min="8435" max="8435" width="0.5" style="98" customWidth="1"/>
    <col min="8436" max="8436" width="31.25" style="98" customWidth="1"/>
    <col min="8437" max="8437" width="33.5" style="98" customWidth="1"/>
    <col min="8438" max="8438" width="2.625" style="98" customWidth="1"/>
    <col min="8439" max="8439" width="10.375" style="98" customWidth="1"/>
    <col min="8440" max="8440" width="10.875" style="98" customWidth="1"/>
    <col min="8441" max="8441" width="14.25" style="98" customWidth="1"/>
    <col min="8442" max="8442" width="10.875" style="98" customWidth="1"/>
    <col min="8443" max="8449" width="0" style="98" hidden="1" customWidth="1"/>
    <col min="8450" max="8450" width="9" style="98"/>
    <col min="8451" max="8451" width="10.875" style="98" bestFit="1" customWidth="1"/>
    <col min="8452" max="8682" width="9" style="98"/>
    <col min="8683" max="8683" width="1.5" style="98" customWidth="1"/>
    <col min="8684" max="8684" width="0.75" style="98" customWidth="1"/>
    <col min="8685" max="8690" width="1" style="98" customWidth="1"/>
    <col min="8691" max="8691" width="0.5" style="98" customWidth="1"/>
    <col min="8692" max="8692" width="31.25" style="98" customWidth="1"/>
    <col min="8693" max="8693" width="33.5" style="98" customWidth="1"/>
    <col min="8694" max="8694" width="2.625" style="98" customWidth="1"/>
    <col min="8695" max="8695" width="10.375" style="98" customWidth="1"/>
    <col min="8696" max="8696" width="10.875" style="98" customWidth="1"/>
    <col min="8697" max="8697" width="14.25" style="98" customWidth="1"/>
    <col min="8698" max="8698" width="10.875" style="98" customWidth="1"/>
    <col min="8699" max="8705" width="0" style="98" hidden="1" customWidth="1"/>
    <col min="8706" max="8706" width="9" style="98"/>
    <col min="8707" max="8707" width="10.875" style="98" bestFit="1" customWidth="1"/>
    <col min="8708" max="8938" width="9" style="98"/>
    <col min="8939" max="8939" width="1.5" style="98" customWidth="1"/>
    <col min="8940" max="8940" width="0.75" style="98" customWidth="1"/>
    <col min="8941" max="8946" width="1" style="98" customWidth="1"/>
    <col min="8947" max="8947" width="0.5" style="98" customWidth="1"/>
    <col min="8948" max="8948" width="31.25" style="98" customWidth="1"/>
    <col min="8949" max="8949" width="33.5" style="98" customWidth="1"/>
    <col min="8950" max="8950" width="2.625" style="98" customWidth="1"/>
    <col min="8951" max="8951" width="10.375" style="98" customWidth="1"/>
    <col min="8952" max="8952" width="10.875" style="98" customWidth="1"/>
    <col min="8953" max="8953" width="14.25" style="98" customWidth="1"/>
    <col min="8954" max="8954" width="10.875" style="98" customWidth="1"/>
    <col min="8955" max="8961" width="0" style="98" hidden="1" customWidth="1"/>
    <col min="8962" max="8962" width="9" style="98"/>
    <col min="8963" max="8963" width="10.875" style="98" bestFit="1" customWidth="1"/>
    <col min="8964" max="9194" width="9" style="98"/>
    <col min="9195" max="9195" width="1.5" style="98" customWidth="1"/>
    <col min="9196" max="9196" width="0.75" style="98" customWidth="1"/>
    <col min="9197" max="9202" width="1" style="98" customWidth="1"/>
    <col min="9203" max="9203" width="0.5" style="98" customWidth="1"/>
    <col min="9204" max="9204" width="31.25" style="98" customWidth="1"/>
    <col min="9205" max="9205" width="33.5" style="98" customWidth="1"/>
    <col min="9206" max="9206" width="2.625" style="98" customWidth="1"/>
    <col min="9207" max="9207" width="10.375" style="98" customWidth="1"/>
    <col min="9208" max="9208" width="10.875" style="98" customWidth="1"/>
    <col min="9209" max="9209" width="14.25" style="98" customWidth="1"/>
    <col min="9210" max="9210" width="10.875" style="98" customWidth="1"/>
    <col min="9211" max="9217" width="0" style="98" hidden="1" customWidth="1"/>
    <col min="9218" max="9218" width="9" style="98"/>
    <col min="9219" max="9219" width="10.875" style="98" bestFit="1" customWidth="1"/>
    <col min="9220" max="9450" width="9" style="98"/>
    <col min="9451" max="9451" width="1.5" style="98" customWidth="1"/>
    <col min="9452" max="9452" width="0.75" style="98" customWidth="1"/>
    <col min="9453" max="9458" width="1" style="98" customWidth="1"/>
    <col min="9459" max="9459" width="0.5" style="98" customWidth="1"/>
    <col min="9460" max="9460" width="31.25" style="98" customWidth="1"/>
    <col min="9461" max="9461" width="33.5" style="98" customWidth="1"/>
    <col min="9462" max="9462" width="2.625" style="98" customWidth="1"/>
    <col min="9463" max="9463" width="10.375" style="98" customWidth="1"/>
    <col min="9464" max="9464" width="10.875" style="98" customWidth="1"/>
    <col min="9465" max="9465" width="14.25" style="98" customWidth="1"/>
    <col min="9466" max="9466" width="10.875" style="98" customWidth="1"/>
    <col min="9467" max="9473" width="0" style="98" hidden="1" customWidth="1"/>
    <col min="9474" max="9474" width="9" style="98"/>
    <col min="9475" max="9475" width="10.875" style="98" bestFit="1" customWidth="1"/>
    <col min="9476" max="9706" width="9" style="98"/>
    <col min="9707" max="9707" width="1.5" style="98" customWidth="1"/>
    <col min="9708" max="9708" width="0.75" style="98" customWidth="1"/>
    <col min="9709" max="9714" width="1" style="98" customWidth="1"/>
    <col min="9715" max="9715" width="0.5" style="98" customWidth="1"/>
    <col min="9716" max="9716" width="31.25" style="98" customWidth="1"/>
    <col min="9717" max="9717" width="33.5" style="98" customWidth="1"/>
    <col min="9718" max="9718" width="2.625" style="98" customWidth="1"/>
    <col min="9719" max="9719" width="10.375" style="98" customWidth="1"/>
    <col min="9720" max="9720" width="10.875" style="98" customWidth="1"/>
    <col min="9721" max="9721" width="14.25" style="98" customWidth="1"/>
    <col min="9722" max="9722" width="10.875" style="98" customWidth="1"/>
    <col min="9723" max="9729" width="0" style="98" hidden="1" customWidth="1"/>
    <col min="9730" max="9730" width="9" style="98"/>
    <col min="9731" max="9731" width="10.875" style="98" bestFit="1" customWidth="1"/>
    <col min="9732" max="9962" width="9" style="98"/>
    <col min="9963" max="9963" width="1.5" style="98" customWidth="1"/>
    <col min="9964" max="9964" width="0.75" style="98" customWidth="1"/>
    <col min="9965" max="9970" width="1" style="98" customWidth="1"/>
    <col min="9971" max="9971" width="0.5" style="98" customWidth="1"/>
    <col min="9972" max="9972" width="31.25" style="98" customWidth="1"/>
    <col min="9973" max="9973" width="33.5" style="98" customWidth="1"/>
    <col min="9974" max="9974" width="2.625" style="98" customWidth="1"/>
    <col min="9975" max="9975" width="10.375" style="98" customWidth="1"/>
    <col min="9976" max="9976" width="10.875" style="98" customWidth="1"/>
    <col min="9977" max="9977" width="14.25" style="98" customWidth="1"/>
    <col min="9978" max="9978" width="10.875" style="98" customWidth="1"/>
    <col min="9979" max="9985" width="0" style="98" hidden="1" customWidth="1"/>
    <col min="9986" max="9986" width="9" style="98"/>
    <col min="9987" max="9987" width="10.875" style="98" bestFit="1" customWidth="1"/>
    <col min="9988" max="10218" width="9" style="98"/>
    <col min="10219" max="10219" width="1.5" style="98" customWidth="1"/>
    <col min="10220" max="10220" width="0.75" style="98" customWidth="1"/>
    <col min="10221" max="10226" width="1" style="98" customWidth="1"/>
    <col min="10227" max="10227" width="0.5" style="98" customWidth="1"/>
    <col min="10228" max="10228" width="31.25" style="98" customWidth="1"/>
    <col min="10229" max="10229" width="33.5" style="98" customWidth="1"/>
    <col min="10230" max="10230" width="2.625" style="98" customWidth="1"/>
    <col min="10231" max="10231" width="10.375" style="98" customWidth="1"/>
    <col min="10232" max="10232" width="10.875" style="98" customWidth="1"/>
    <col min="10233" max="10233" width="14.25" style="98" customWidth="1"/>
    <col min="10234" max="10234" width="10.875" style="98" customWidth="1"/>
    <col min="10235" max="10241" width="0" style="98" hidden="1" customWidth="1"/>
    <col min="10242" max="10242" width="9" style="98"/>
    <col min="10243" max="10243" width="10.875" style="98" bestFit="1" customWidth="1"/>
    <col min="10244" max="10474" width="9" style="98"/>
    <col min="10475" max="10475" width="1.5" style="98" customWidth="1"/>
    <col min="10476" max="10476" width="0.75" style="98" customWidth="1"/>
    <col min="10477" max="10482" width="1" style="98" customWidth="1"/>
    <col min="10483" max="10483" width="0.5" style="98" customWidth="1"/>
    <col min="10484" max="10484" width="31.25" style="98" customWidth="1"/>
    <col min="10485" max="10485" width="33.5" style="98" customWidth="1"/>
    <col min="10486" max="10486" width="2.625" style="98" customWidth="1"/>
    <col min="10487" max="10487" width="10.375" style="98" customWidth="1"/>
    <col min="10488" max="10488" width="10.875" style="98" customWidth="1"/>
    <col min="10489" max="10489" width="14.25" style="98" customWidth="1"/>
    <col min="10490" max="10490" width="10.875" style="98" customWidth="1"/>
    <col min="10491" max="10497" width="0" style="98" hidden="1" customWidth="1"/>
    <col min="10498" max="10498" width="9" style="98"/>
    <col min="10499" max="10499" width="10.875" style="98" bestFit="1" customWidth="1"/>
    <col min="10500" max="10730" width="9" style="98"/>
    <col min="10731" max="10731" width="1.5" style="98" customWidth="1"/>
    <col min="10732" max="10732" width="0.75" style="98" customWidth="1"/>
    <col min="10733" max="10738" width="1" style="98" customWidth="1"/>
    <col min="10739" max="10739" width="0.5" style="98" customWidth="1"/>
    <col min="10740" max="10740" width="31.25" style="98" customWidth="1"/>
    <col min="10741" max="10741" width="33.5" style="98" customWidth="1"/>
    <col min="10742" max="10742" width="2.625" style="98" customWidth="1"/>
    <col min="10743" max="10743" width="10.375" style="98" customWidth="1"/>
    <col min="10744" max="10744" width="10.875" style="98" customWidth="1"/>
    <col min="10745" max="10745" width="14.25" style="98" customWidth="1"/>
    <col min="10746" max="10746" width="10.875" style="98" customWidth="1"/>
    <col min="10747" max="10753" width="0" style="98" hidden="1" customWidth="1"/>
    <col min="10754" max="10754" width="9" style="98"/>
    <col min="10755" max="10755" width="10.875" style="98" bestFit="1" customWidth="1"/>
    <col min="10756" max="10986" width="9" style="98"/>
    <col min="10987" max="10987" width="1.5" style="98" customWidth="1"/>
    <col min="10988" max="10988" width="0.75" style="98" customWidth="1"/>
    <col min="10989" max="10994" width="1" style="98" customWidth="1"/>
    <col min="10995" max="10995" width="0.5" style="98" customWidth="1"/>
    <col min="10996" max="10996" width="31.25" style="98" customWidth="1"/>
    <col min="10997" max="10997" width="33.5" style="98" customWidth="1"/>
    <col min="10998" max="10998" width="2.625" style="98" customWidth="1"/>
    <col min="10999" max="10999" width="10.375" style="98" customWidth="1"/>
    <col min="11000" max="11000" width="10.875" style="98" customWidth="1"/>
    <col min="11001" max="11001" width="14.25" style="98" customWidth="1"/>
    <col min="11002" max="11002" width="10.875" style="98" customWidth="1"/>
    <col min="11003" max="11009" width="0" style="98" hidden="1" customWidth="1"/>
    <col min="11010" max="11010" width="9" style="98"/>
    <col min="11011" max="11011" width="10.875" style="98" bestFit="1" customWidth="1"/>
    <col min="11012" max="11242" width="9" style="98"/>
    <col min="11243" max="11243" width="1.5" style="98" customWidth="1"/>
    <col min="11244" max="11244" width="0.75" style="98" customWidth="1"/>
    <col min="11245" max="11250" width="1" style="98" customWidth="1"/>
    <col min="11251" max="11251" width="0.5" style="98" customWidth="1"/>
    <col min="11252" max="11252" width="31.25" style="98" customWidth="1"/>
    <col min="11253" max="11253" width="33.5" style="98" customWidth="1"/>
    <col min="11254" max="11254" width="2.625" style="98" customWidth="1"/>
    <col min="11255" max="11255" width="10.375" style="98" customWidth="1"/>
    <col min="11256" max="11256" width="10.875" style="98" customWidth="1"/>
    <col min="11257" max="11257" width="14.25" style="98" customWidth="1"/>
    <col min="11258" max="11258" width="10.875" style="98" customWidth="1"/>
    <col min="11259" max="11265" width="0" style="98" hidden="1" customWidth="1"/>
    <col min="11266" max="11266" width="9" style="98"/>
    <col min="11267" max="11267" width="10.875" style="98" bestFit="1" customWidth="1"/>
    <col min="11268" max="11498" width="9" style="98"/>
    <col min="11499" max="11499" width="1.5" style="98" customWidth="1"/>
    <col min="11500" max="11500" width="0.75" style="98" customWidth="1"/>
    <col min="11501" max="11506" width="1" style="98" customWidth="1"/>
    <col min="11507" max="11507" width="0.5" style="98" customWidth="1"/>
    <col min="11508" max="11508" width="31.25" style="98" customWidth="1"/>
    <col min="11509" max="11509" width="33.5" style="98" customWidth="1"/>
    <col min="11510" max="11510" width="2.625" style="98" customWidth="1"/>
    <col min="11511" max="11511" width="10.375" style="98" customWidth="1"/>
    <col min="11512" max="11512" width="10.875" style="98" customWidth="1"/>
    <col min="11513" max="11513" width="14.25" style="98" customWidth="1"/>
    <col min="11514" max="11514" width="10.875" style="98" customWidth="1"/>
    <col min="11515" max="11521" width="0" style="98" hidden="1" customWidth="1"/>
    <col min="11522" max="11522" width="9" style="98"/>
    <col min="11523" max="11523" width="10.875" style="98" bestFit="1" customWidth="1"/>
    <col min="11524" max="11754" width="9" style="98"/>
    <col min="11755" max="11755" width="1.5" style="98" customWidth="1"/>
    <col min="11756" max="11756" width="0.75" style="98" customWidth="1"/>
    <col min="11757" max="11762" width="1" style="98" customWidth="1"/>
    <col min="11763" max="11763" width="0.5" style="98" customWidth="1"/>
    <col min="11764" max="11764" width="31.25" style="98" customWidth="1"/>
    <col min="11765" max="11765" width="33.5" style="98" customWidth="1"/>
    <col min="11766" max="11766" width="2.625" style="98" customWidth="1"/>
    <col min="11767" max="11767" width="10.375" style="98" customWidth="1"/>
    <col min="11768" max="11768" width="10.875" style="98" customWidth="1"/>
    <col min="11769" max="11769" width="14.25" style="98" customWidth="1"/>
    <col min="11770" max="11770" width="10.875" style="98" customWidth="1"/>
    <col min="11771" max="11777" width="0" style="98" hidden="1" customWidth="1"/>
    <col min="11778" max="11778" width="9" style="98"/>
    <col min="11779" max="11779" width="10.875" style="98" bestFit="1" customWidth="1"/>
    <col min="11780" max="12010" width="9" style="98"/>
    <col min="12011" max="12011" width="1.5" style="98" customWidth="1"/>
    <col min="12012" max="12012" width="0.75" style="98" customWidth="1"/>
    <col min="12013" max="12018" width="1" style="98" customWidth="1"/>
    <col min="12019" max="12019" width="0.5" style="98" customWidth="1"/>
    <col min="12020" max="12020" width="31.25" style="98" customWidth="1"/>
    <col min="12021" max="12021" width="33.5" style="98" customWidth="1"/>
    <col min="12022" max="12022" width="2.625" style="98" customWidth="1"/>
    <col min="12023" max="12023" width="10.375" style="98" customWidth="1"/>
    <col min="12024" max="12024" width="10.875" style="98" customWidth="1"/>
    <col min="12025" max="12025" width="14.25" style="98" customWidth="1"/>
    <col min="12026" max="12026" width="10.875" style="98" customWidth="1"/>
    <col min="12027" max="12033" width="0" style="98" hidden="1" customWidth="1"/>
    <col min="12034" max="12034" width="9" style="98"/>
    <col min="12035" max="12035" width="10.875" style="98" bestFit="1" customWidth="1"/>
    <col min="12036" max="12266" width="9" style="98"/>
    <col min="12267" max="12267" width="1.5" style="98" customWidth="1"/>
    <col min="12268" max="12268" width="0.75" style="98" customWidth="1"/>
    <col min="12269" max="12274" width="1" style="98" customWidth="1"/>
    <col min="12275" max="12275" width="0.5" style="98" customWidth="1"/>
    <col min="12276" max="12276" width="31.25" style="98" customWidth="1"/>
    <col min="12277" max="12277" width="33.5" style="98" customWidth="1"/>
    <col min="12278" max="12278" width="2.625" style="98" customWidth="1"/>
    <col min="12279" max="12279" width="10.375" style="98" customWidth="1"/>
    <col min="12280" max="12280" width="10.875" style="98" customWidth="1"/>
    <col min="12281" max="12281" width="14.25" style="98" customWidth="1"/>
    <col min="12282" max="12282" width="10.875" style="98" customWidth="1"/>
    <col min="12283" max="12289" width="0" style="98" hidden="1" customWidth="1"/>
    <col min="12290" max="12290" width="9" style="98"/>
    <col min="12291" max="12291" width="10.875" style="98" bestFit="1" customWidth="1"/>
    <col min="12292" max="12522" width="9" style="98"/>
    <col min="12523" max="12523" width="1.5" style="98" customWidth="1"/>
    <col min="12524" max="12524" width="0.75" style="98" customWidth="1"/>
    <col min="12525" max="12530" width="1" style="98" customWidth="1"/>
    <col min="12531" max="12531" width="0.5" style="98" customWidth="1"/>
    <col min="12532" max="12532" width="31.25" style="98" customWidth="1"/>
    <col min="12533" max="12533" width="33.5" style="98" customWidth="1"/>
    <col min="12534" max="12534" width="2.625" style="98" customWidth="1"/>
    <col min="12535" max="12535" width="10.375" style="98" customWidth="1"/>
    <col min="12536" max="12536" width="10.875" style="98" customWidth="1"/>
    <col min="12537" max="12537" width="14.25" style="98" customWidth="1"/>
    <col min="12538" max="12538" width="10.875" style="98" customWidth="1"/>
    <col min="12539" max="12545" width="0" style="98" hidden="1" customWidth="1"/>
    <col min="12546" max="12546" width="9" style="98"/>
    <col min="12547" max="12547" width="10.875" style="98" bestFit="1" customWidth="1"/>
    <col min="12548" max="12778" width="9" style="98"/>
    <col min="12779" max="12779" width="1.5" style="98" customWidth="1"/>
    <col min="12780" max="12780" width="0.75" style="98" customWidth="1"/>
    <col min="12781" max="12786" width="1" style="98" customWidth="1"/>
    <col min="12787" max="12787" width="0.5" style="98" customWidth="1"/>
    <col min="12788" max="12788" width="31.25" style="98" customWidth="1"/>
    <col min="12789" max="12789" width="33.5" style="98" customWidth="1"/>
    <col min="12790" max="12790" width="2.625" style="98" customWidth="1"/>
    <col min="12791" max="12791" width="10.375" style="98" customWidth="1"/>
    <col min="12792" max="12792" width="10.875" style="98" customWidth="1"/>
    <col min="12793" max="12793" width="14.25" style="98" customWidth="1"/>
    <col min="12794" max="12794" width="10.875" style="98" customWidth="1"/>
    <col min="12795" max="12801" width="0" style="98" hidden="1" customWidth="1"/>
    <col min="12802" max="12802" width="9" style="98"/>
    <col min="12803" max="12803" width="10.875" style="98" bestFit="1" customWidth="1"/>
    <col min="12804" max="13034" width="9" style="98"/>
    <col min="13035" max="13035" width="1.5" style="98" customWidth="1"/>
    <col min="13036" max="13036" width="0.75" style="98" customWidth="1"/>
    <col min="13037" max="13042" width="1" style="98" customWidth="1"/>
    <col min="13043" max="13043" width="0.5" style="98" customWidth="1"/>
    <col min="13044" max="13044" width="31.25" style="98" customWidth="1"/>
    <col min="13045" max="13045" width="33.5" style="98" customWidth="1"/>
    <col min="13046" max="13046" width="2.625" style="98" customWidth="1"/>
    <col min="13047" max="13047" width="10.375" style="98" customWidth="1"/>
    <col min="13048" max="13048" width="10.875" style="98" customWidth="1"/>
    <col min="13049" max="13049" width="14.25" style="98" customWidth="1"/>
    <col min="13050" max="13050" width="10.875" style="98" customWidth="1"/>
    <col min="13051" max="13057" width="0" style="98" hidden="1" customWidth="1"/>
    <col min="13058" max="13058" width="9" style="98"/>
    <col min="13059" max="13059" width="10.875" style="98" bestFit="1" customWidth="1"/>
    <col min="13060" max="13290" width="9" style="98"/>
    <col min="13291" max="13291" width="1.5" style="98" customWidth="1"/>
    <col min="13292" max="13292" width="0.75" style="98" customWidth="1"/>
    <col min="13293" max="13298" width="1" style="98" customWidth="1"/>
    <col min="13299" max="13299" width="0.5" style="98" customWidth="1"/>
    <col min="13300" max="13300" width="31.25" style="98" customWidth="1"/>
    <col min="13301" max="13301" width="33.5" style="98" customWidth="1"/>
    <col min="13302" max="13302" width="2.625" style="98" customWidth="1"/>
    <col min="13303" max="13303" width="10.375" style="98" customWidth="1"/>
    <col min="13304" max="13304" width="10.875" style="98" customWidth="1"/>
    <col min="13305" max="13305" width="14.25" style="98" customWidth="1"/>
    <col min="13306" max="13306" width="10.875" style="98" customWidth="1"/>
    <col min="13307" max="13313" width="0" style="98" hidden="1" customWidth="1"/>
    <col min="13314" max="13314" width="9" style="98"/>
    <col min="13315" max="13315" width="10.875" style="98" bestFit="1" customWidth="1"/>
    <col min="13316" max="13546" width="9" style="98"/>
    <col min="13547" max="13547" width="1.5" style="98" customWidth="1"/>
    <col min="13548" max="13548" width="0.75" style="98" customWidth="1"/>
    <col min="13549" max="13554" width="1" style="98" customWidth="1"/>
    <col min="13555" max="13555" width="0.5" style="98" customWidth="1"/>
    <col min="13556" max="13556" width="31.25" style="98" customWidth="1"/>
    <col min="13557" max="13557" width="33.5" style="98" customWidth="1"/>
    <col min="13558" max="13558" width="2.625" style="98" customWidth="1"/>
    <col min="13559" max="13559" width="10.375" style="98" customWidth="1"/>
    <col min="13560" max="13560" width="10.875" style="98" customWidth="1"/>
    <col min="13561" max="13561" width="14.25" style="98" customWidth="1"/>
    <col min="13562" max="13562" width="10.875" style="98" customWidth="1"/>
    <col min="13563" max="13569" width="0" style="98" hidden="1" customWidth="1"/>
    <col min="13570" max="13570" width="9" style="98"/>
    <col min="13571" max="13571" width="10.875" style="98" bestFit="1" customWidth="1"/>
    <col min="13572" max="13802" width="9" style="98"/>
    <col min="13803" max="13803" width="1.5" style="98" customWidth="1"/>
    <col min="13804" max="13804" width="0.75" style="98" customWidth="1"/>
    <col min="13805" max="13810" width="1" style="98" customWidth="1"/>
    <col min="13811" max="13811" width="0.5" style="98" customWidth="1"/>
    <col min="13812" max="13812" width="31.25" style="98" customWidth="1"/>
    <col min="13813" max="13813" width="33.5" style="98" customWidth="1"/>
    <col min="13814" max="13814" width="2.625" style="98" customWidth="1"/>
    <col min="13815" max="13815" width="10.375" style="98" customWidth="1"/>
    <col min="13816" max="13816" width="10.875" style="98" customWidth="1"/>
    <col min="13817" max="13817" width="14.25" style="98" customWidth="1"/>
    <col min="13818" max="13818" width="10.875" style="98" customWidth="1"/>
    <col min="13819" max="13825" width="0" style="98" hidden="1" customWidth="1"/>
    <col min="13826" max="13826" width="9" style="98"/>
    <col min="13827" max="13827" width="10.875" style="98" bestFit="1" customWidth="1"/>
    <col min="13828" max="14058" width="9" style="98"/>
    <col min="14059" max="14059" width="1.5" style="98" customWidth="1"/>
    <col min="14060" max="14060" width="0.75" style="98" customWidth="1"/>
    <col min="14061" max="14066" width="1" style="98" customWidth="1"/>
    <col min="14067" max="14067" width="0.5" style="98" customWidth="1"/>
    <col min="14068" max="14068" width="31.25" style="98" customWidth="1"/>
    <col min="14069" max="14069" width="33.5" style="98" customWidth="1"/>
    <col min="14070" max="14070" width="2.625" style="98" customWidth="1"/>
    <col min="14071" max="14071" width="10.375" style="98" customWidth="1"/>
    <col min="14072" max="14072" width="10.875" style="98" customWidth="1"/>
    <col min="14073" max="14073" width="14.25" style="98" customWidth="1"/>
    <col min="14074" max="14074" width="10.875" style="98" customWidth="1"/>
    <col min="14075" max="14081" width="0" style="98" hidden="1" customWidth="1"/>
    <col min="14082" max="14082" width="9" style="98"/>
    <col min="14083" max="14083" width="10.875" style="98" bestFit="1" customWidth="1"/>
    <col min="14084" max="14314" width="9" style="98"/>
    <col min="14315" max="14315" width="1.5" style="98" customWidth="1"/>
    <col min="14316" max="14316" width="0.75" style="98" customWidth="1"/>
    <col min="14317" max="14322" width="1" style="98" customWidth="1"/>
    <col min="14323" max="14323" width="0.5" style="98" customWidth="1"/>
    <col min="14324" max="14324" width="31.25" style="98" customWidth="1"/>
    <col min="14325" max="14325" width="33.5" style="98" customWidth="1"/>
    <col min="14326" max="14326" width="2.625" style="98" customWidth="1"/>
    <col min="14327" max="14327" width="10.375" style="98" customWidth="1"/>
    <col min="14328" max="14328" width="10.875" style="98" customWidth="1"/>
    <col min="14329" max="14329" width="14.25" style="98" customWidth="1"/>
    <col min="14330" max="14330" width="10.875" style="98" customWidth="1"/>
    <col min="14331" max="14337" width="0" style="98" hidden="1" customWidth="1"/>
    <col min="14338" max="14338" width="9" style="98"/>
    <col min="14339" max="14339" width="10.875" style="98" bestFit="1" customWidth="1"/>
    <col min="14340" max="14570" width="9" style="98"/>
    <col min="14571" max="14571" width="1.5" style="98" customWidth="1"/>
    <col min="14572" max="14572" width="0.75" style="98" customWidth="1"/>
    <col min="14573" max="14578" width="1" style="98" customWidth="1"/>
    <col min="14579" max="14579" width="0.5" style="98" customWidth="1"/>
    <col min="14580" max="14580" width="31.25" style="98" customWidth="1"/>
    <col min="14581" max="14581" width="33.5" style="98" customWidth="1"/>
    <col min="14582" max="14582" width="2.625" style="98" customWidth="1"/>
    <col min="14583" max="14583" width="10.375" style="98" customWidth="1"/>
    <col min="14584" max="14584" width="10.875" style="98" customWidth="1"/>
    <col min="14585" max="14585" width="14.25" style="98" customWidth="1"/>
    <col min="14586" max="14586" width="10.875" style="98" customWidth="1"/>
    <col min="14587" max="14593" width="0" style="98" hidden="1" customWidth="1"/>
    <col min="14594" max="14594" width="9" style="98"/>
    <col min="14595" max="14595" width="10.875" style="98" bestFit="1" customWidth="1"/>
    <col min="14596" max="14826" width="9" style="98"/>
    <col min="14827" max="14827" width="1.5" style="98" customWidth="1"/>
    <col min="14828" max="14828" width="0.75" style="98" customWidth="1"/>
    <col min="14829" max="14834" width="1" style="98" customWidth="1"/>
    <col min="14835" max="14835" width="0.5" style="98" customWidth="1"/>
    <col min="14836" max="14836" width="31.25" style="98" customWidth="1"/>
    <col min="14837" max="14837" width="33.5" style="98" customWidth="1"/>
    <col min="14838" max="14838" width="2.625" style="98" customWidth="1"/>
    <col min="14839" max="14839" width="10.375" style="98" customWidth="1"/>
    <col min="14840" max="14840" width="10.875" style="98" customWidth="1"/>
    <col min="14841" max="14841" width="14.25" style="98" customWidth="1"/>
    <col min="14842" max="14842" width="10.875" style="98" customWidth="1"/>
    <col min="14843" max="14849" width="0" style="98" hidden="1" customWidth="1"/>
    <col min="14850" max="14850" width="9" style="98"/>
    <col min="14851" max="14851" width="10.875" style="98" bestFit="1" customWidth="1"/>
    <col min="14852" max="15082" width="9" style="98"/>
    <col min="15083" max="15083" width="1.5" style="98" customWidth="1"/>
    <col min="15084" max="15084" width="0.75" style="98" customWidth="1"/>
    <col min="15085" max="15090" width="1" style="98" customWidth="1"/>
    <col min="15091" max="15091" width="0.5" style="98" customWidth="1"/>
    <col min="15092" max="15092" width="31.25" style="98" customWidth="1"/>
    <col min="15093" max="15093" width="33.5" style="98" customWidth="1"/>
    <col min="15094" max="15094" width="2.625" style="98" customWidth="1"/>
    <col min="15095" max="15095" width="10.375" style="98" customWidth="1"/>
    <col min="15096" max="15096" width="10.875" style="98" customWidth="1"/>
    <col min="15097" max="15097" width="14.25" style="98" customWidth="1"/>
    <col min="15098" max="15098" width="10.875" style="98" customWidth="1"/>
    <col min="15099" max="15105" width="0" style="98" hidden="1" customWidth="1"/>
    <col min="15106" max="15106" width="9" style="98"/>
    <col min="15107" max="15107" width="10.875" style="98" bestFit="1" customWidth="1"/>
    <col min="15108" max="15338" width="9" style="98"/>
    <col min="15339" max="15339" width="1.5" style="98" customWidth="1"/>
    <col min="15340" max="15340" width="0.75" style="98" customWidth="1"/>
    <col min="15341" max="15346" width="1" style="98" customWidth="1"/>
    <col min="15347" max="15347" width="0.5" style="98" customWidth="1"/>
    <col min="15348" max="15348" width="31.25" style="98" customWidth="1"/>
    <col min="15349" max="15349" width="33.5" style="98" customWidth="1"/>
    <col min="15350" max="15350" width="2.625" style="98" customWidth="1"/>
    <col min="15351" max="15351" width="10.375" style="98" customWidth="1"/>
    <col min="15352" max="15352" width="10.875" style="98" customWidth="1"/>
    <col min="15353" max="15353" width="14.25" style="98" customWidth="1"/>
    <col min="15354" max="15354" width="10.875" style="98" customWidth="1"/>
    <col min="15355" max="15361" width="0" style="98" hidden="1" customWidth="1"/>
    <col min="15362" max="15362" width="9" style="98"/>
    <col min="15363" max="15363" width="10.875" style="98" bestFit="1" customWidth="1"/>
    <col min="15364" max="15594" width="9" style="98"/>
    <col min="15595" max="15595" width="1.5" style="98" customWidth="1"/>
    <col min="15596" max="15596" width="0.75" style="98" customWidth="1"/>
    <col min="15597" max="15602" width="1" style="98" customWidth="1"/>
    <col min="15603" max="15603" width="0.5" style="98" customWidth="1"/>
    <col min="15604" max="15604" width="31.25" style="98" customWidth="1"/>
    <col min="15605" max="15605" width="33.5" style="98" customWidth="1"/>
    <col min="15606" max="15606" width="2.625" style="98" customWidth="1"/>
    <col min="15607" max="15607" width="10.375" style="98" customWidth="1"/>
    <col min="15608" max="15608" width="10.875" style="98" customWidth="1"/>
    <col min="15609" max="15609" width="14.25" style="98" customWidth="1"/>
    <col min="15610" max="15610" width="10.875" style="98" customWidth="1"/>
    <col min="15611" max="15617" width="0" style="98" hidden="1" customWidth="1"/>
    <col min="15618" max="15618" width="9" style="98"/>
    <col min="15619" max="15619" width="10.875" style="98" bestFit="1" customWidth="1"/>
    <col min="15620" max="15850" width="9" style="98"/>
    <col min="15851" max="15851" width="1.5" style="98" customWidth="1"/>
    <col min="15852" max="15852" width="0.75" style="98" customWidth="1"/>
    <col min="15853" max="15858" width="1" style="98" customWidth="1"/>
    <col min="15859" max="15859" width="0.5" style="98" customWidth="1"/>
    <col min="15860" max="15860" width="31.25" style="98" customWidth="1"/>
    <col min="15861" max="15861" width="33.5" style="98" customWidth="1"/>
    <col min="15862" max="15862" width="2.625" style="98" customWidth="1"/>
    <col min="15863" max="15863" width="10.375" style="98" customWidth="1"/>
    <col min="15864" max="15864" width="10.875" style="98" customWidth="1"/>
    <col min="15865" max="15865" width="14.25" style="98" customWidth="1"/>
    <col min="15866" max="15866" width="10.875" style="98" customWidth="1"/>
    <col min="15867" max="15873" width="0" style="98" hidden="1" customWidth="1"/>
    <col min="15874" max="15874" width="9" style="98"/>
    <col min="15875" max="15875" width="10.875" style="98" bestFit="1" customWidth="1"/>
    <col min="15876" max="16106" width="9" style="98"/>
    <col min="16107" max="16107" width="1.5" style="98" customWidth="1"/>
    <col min="16108" max="16108" width="0.75" style="98" customWidth="1"/>
    <col min="16109" max="16114" width="1" style="98" customWidth="1"/>
    <col min="16115" max="16115" width="0.5" style="98" customWidth="1"/>
    <col min="16116" max="16116" width="31.25" style="98" customWidth="1"/>
    <col min="16117" max="16117" width="33.5" style="98" customWidth="1"/>
    <col min="16118" max="16118" width="2.625" style="98" customWidth="1"/>
    <col min="16119" max="16119" width="10.375" style="98" customWidth="1"/>
    <col min="16120" max="16120" width="10.875" style="98" customWidth="1"/>
    <col min="16121" max="16121" width="14.25" style="98" customWidth="1"/>
    <col min="16122" max="16122" width="10.875" style="98" customWidth="1"/>
    <col min="16123" max="16129" width="0" style="98" hidden="1" customWidth="1"/>
    <col min="16130" max="16130" width="9" style="98"/>
    <col min="16131" max="16131" width="10.875" style="98" bestFit="1" customWidth="1"/>
    <col min="16132" max="16384" width="9" style="98"/>
  </cols>
  <sheetData>
    <row r="1" spans="1:17" ht="20.100000000000001" customHeight="1">
      <c r="A1" s="486" t="s">
        <v>1152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  <c r="N1" s="486"/>
      <c r="O1" s="486"/>
      <c r="P1" s="152"/>
      <c r="Q1" s="160"/>
    </row>
    <row r="2" spans="1:17" ht="11.1" customHeight="1">
      <c r="A2" s="150"/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60"/>
      <c r="P2" s="152"/>
      <c r="Q2" s="150"/>
    </row>
    <row r="3" spans="1:17" ht="20.100000000000001" customHeight="1">
      <c r="A3" s="481" t="s">
        <v>1151</v>
      </c>
      <c r="B3" s="481"/>
      <c r="C3" s="481"/>
      <c r="D3" s="481"/>
      <c r="E3" s="481"/>
      <c r="F3" s="481"/>
      <c r="G3" s="481"/>
      <c r="H3" s="481"/>
      <c r="I3" s="481"/>
      <c r="J3" s="481"/>
      <c r="K3" s="481"/>
      <c r="L3" s="481"/>
      <c r="M3" s="481"/>
      <c r="N3" s="487" t="s">
        <v>0</v>
      </c>
      <c r="O3" s="487"/>
      <c r="P3" s="153"/>
      <c r="Q3" s="161"/>
    </row>
    <row r="4" spans="1:17" ht="5.0999999999999996" customHeight="1">
      <c r="A4" s="148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9"/>
      <c r="O4" s="161"/>
      <c r="P4" s="153"/>
      <c r="Q4" s="149"/>
    </row>
    <row r="5" spans="1:17" ht="20.100000000000001" customHeight="1">
      <c r="A5" s="399" t="s">
        <v>843</v>
      </c>
      <c r="B5" s="400"/>
      <c r="C5" s="400"/>
      <c r="D5" s="400"/>
      <c r="E5" s="400"/>
      <c r="F5" s="400"/>
      <c r="G5" s="400"/>
      <c r="H5" s="400"/>
      <c r="I5" s="400"/>
      <c r="J5" s="400"/>
      <c r="K5" s="400"/>
      <c r="L5" s="401"/>
      <c r="M5" s="398" t="s">
        <v>2</v>
      </c>
      <c r="N5" s="398" t="s">
        <v>3</v>
      </c>
      <c r="O5" s="398" t="s">
        <v>1195</v>
      </c>
      <c r="P5" s="182"/>
      <c r="Q5" s="392" t="s">
        <v>1194</v>
      </c>
    </row>
    <row r="6" spans="1:17" ht="20.100000000000001" customHeight="1">
      <c r="A6" s="394" t="s">
        <v>844</v>
      </c>
      <c r="B6" s="395"/>
      <c r="C6" s="395"/>
      <c r="D6" s="395"/>
      <c r="E6" s="395"/>
      <c r="F6" s="395"/>
      <c r="G6" s="395"/>
      <c r="H6" s="395"/>
      <c r="I6" s="395"/>
      <c r="J6" s="395"/>
      <c r="K6" s="395"/>
      <c r="L6" s="396"/>
      <c r="M6" s="396"/>
      <c r="N6" s="396"/>
      <c r="O6" s="396"/>
      <c r="P6" s="182"/>
      <c r="Q6" s="393"/>
    </row>
    <row r="7" spans="1:17" ht="20.100000000000001" customHeight="1">
      <c r="A7" s="399" t="s">
        <v>823</v>
      </c>
      <c r="B7" s="400"/>
      <c r="C7" s="400"/>
      <c r="D7" s="400"/>
      <c r="E7" s="400"/>
      <c r="F7" s="400"/>
      <c r="G7" s="400"/>
      <c r="H7" s="400"/>
      <c r="I7" s="400"/>
      <c r="J7" s="400"/>
      <c r="K7" s="400"/>
      <c r="L7" s="401"/>
      <c r="M7" s="83">
        <f t="shared" ref="M7:N8" si="0">+M8</f>
        <v>1925040</v>
      </c>
      <c r="N7" s="83">
        <f t="shared" si="0"/>
        <v>2441604</v>
      </c>
      <c r="O7" s="162">
        <f>+M7-N7</f>
        <v>-516564</v>
      </c>
      <c r="P7" s="183"/>
      <c r="Q7" s="83"/>
    </row>
    <row r="8" spans="1:17" ht="20.100000000000001" customHeight="1">
      <c r="A8" s="485" t="s">
        <v>845</v>
      </c>
      <c r="B8" s="475"/>
      <c r="C8" s="475"/>
      <c r="D8" s="475"/>
      <c r="E8" s="475" t="s">
        <v>847</v>
      </c>
      <c r="F8" s="475"/>
      <c r="G8" s="475"/>
      <c r="H8" s="475"/>
      <c r="I8" s="475"/>
      <c r="J8" s="475"/>
      <c r="K8" s="475"/>
      <c r="L8" s="476"/>
      <c r="M8" s="99">
        <f t="shared" si="0"/>
        <v>1925040</v>
      </c>
      <c r="N8" s="99">
        <f t="shared" si="0"/>
        <v>2441604</v>
      </c>
      <c r="O8" s="99">
        <f>+M8-N8</f>
        <v>-516564</v>
      </c>
      <c r="P8" s="176"/>
      <c r="Q8" s="102"/>
    </row>
    <row r="9" spans="1:17" ht="20.100000000000001" customHeight="1">
      <c r="A9" s="101"/>
      <c r="B9" s="475" t="s">
        <v>848</v>
      </c>
      <c r="C9" s="475"/>
      <c r="D9" s="475"/>
      <c r="E9" s="475"/>
      <c r="F9" s="475" t="s">
        <v>849</v>
      </c>
      <c r="G9" s="475"/>
      <c r="H9" s="475"/>
      <c r="I9" s="475"/>
      <c r="J9" s="475"/>
      <c r="K9" s="475"/>
      <c r="L9" s="476"/>
      <c r="M9" s="102">
        <f>+M10+M44+M52</f>
        <v>1925040</v>
      </c>
      <c r="N9" s="102">
        <f>+N44+N52+N10</f>
        <v>2441604</v>
      </c>
      <c r="O9" s="102">
        <f t="shared" ref="O9" si="1">+M9-N9</f>
        <v>-516564</v>
      </c>
      <c r="P9" s="177"/>
      <c r="Q9" s="102"/>
    </row>
    <row r="10" spans="1:17" ht="20.100000000000001" customHeight="1">
      <c r="A10" s="101"/>
      <c r="B10" s="103" t="s">
        <v>8</v>
      </c>
      <c r="C10" s="488" t="s">
        <v>870</v>
      </c>
      <c r="D10" s="489"/>
      <c r="E10" s="489"/>
      <c r="F10" s="489"/>
      <c r="G10" s="489" t="s">
        <v>871</v>
      </c>
      <c r="H10" s="489"/>
      <c r="I10" s="489"/>
      <c r="J10" s="489"/>
      <c r="K10" s="489"/>
      <c r="L10" s="490"/>
      <c r="M10" s="102">
        <f>+SUM(M11:M43)</f>
        <v>573240</v>
      </c>
      <c r="N10" s="102">
        <f>+SUM(N11:N43)</f>
        <v>1046004</v>
      </c>
      <c r="O10" s="102">
        <f>+SUM(O11:O43)</f>
        <v>-472764</v>
      </c>
      <c r="P10" s="177"/>
      <c r="Q10" s="102"/>
    </row>
    <row r="11" spans="1:17" s="93" customFormat="1" ht="20.100000000000001" customHeight="1">
      <c r="A11" s="88"/>
      <c r="B11" s="89"/>
      <c r="C11" s="104"/>
      <c r="D11" s="105"/>
      <c r="E11" s="481" t="s">
        <v>872</v>
      </c>
      <c r="F11" s="481"/>
      <c r="G11" s="481"/>
      <c r="H11" s="481"/>
      <c r="I11" s="391" t="s">
        <v>873</v>
      </c>
      <c r="J11" s="391"/>
      <c r="K11" s="391"/>
      <c r="L11" s="479"/>
      <c r="M11" s="91"/>
      <c r="N11" s="91"/>
      <c r="O11" s="163"/>
      <c r="P11" s="178"/>
      <c r="Q11" s="91"/>
    </row>
    <row r="12" spans="1:17" s="111" customFormat="1" ht="20.100000000000001" customHeight="1">
      <c r="A12" s="106"/>
      <c r="B12" s="107"/>
      <c r="C12" s="107"/>
      <c r="D12" s="151"/>
      <c r="E12" s="470" t="s">
        <v>874</v>
      </c>
      <c r="F12" s="471"/>
      <c r="G12" s="471"/>
      <c r="H12" s="471"/>
      <c r="I12" s="471"/>
      <c r="J12" s="471"/>
      <c r="K12" s="108"/>
      <c r="L12" s="249">
        <f>L14+L16+L18+L26+L30+L32+L34+L36+L38+L42</f>
        <v>573240</v>
      </c>
      <c r="M12" s="110"/>
      <c r="N12" s="110"/>
      <c r="O12" s="110"/>
      <c r="P12" s="176"/>
      <c r="Q12" s="170"/>
    </row>
    <row r="13" spans="1:17" s="113" customFormat="1" ht="20.100000000000001" customHeight="1">
      <c r="A13" s="106"/>
      <c r="B13" s="107"/>
      <c r="C13" s="107"/>
      <c r="D13" s="151"/>
      <c r="E13" s="472" t="s">
        <v>875</v>
      </c>
      <c r="F13" s="473"/>
      <c r="G13" s="473"/>
      <c r="H13" s="473"/>
      <c r="I13" s="473"/>
      <c r="J13" s="474"/>
      <c r="K13" s="474"/>
      <c r="L13" s="109"/>
      <c r="M13" s="109"/>
      <c r="N13" s="112"/>
      <c r="O13" s="112"/>
      <c r="P13" s="176"/>
      <c r="Q13" s="171"/>
    </row>
    <row r="14" spans="1:17" s="113" customFormat="1" ht="20.100000000000001" customHeight="1">
      <c r="A14" s="106"/>
      <c r="B14" s="107"/>
      <c r="C14" s="107"/>
      <c r="D14" s="151"/>
      <c r="E14" s="472"/>
      <c r="F14" s="473"/>
      <c r="G14" s="473"/>
      <c r="H14" s="473"/>
      <c r="I14" s="473"/>
      <c r="J14" s="474" t="s">
        <v>1210</v>
      </c>
      <c r="K14" s="474"/>
      <c r="L14" s="109">
        <f>ROUNDDOWN(411000000*0.001,0)</f>
        <v>411000</v>
      </c>
      <c r="M14" s="109">
        <f>+L14</f>
        <v>411000</v>
      </c>
      <c r="N14" s="112">
        <v>751544</v>
      </c>
      <c r="O14" s="112">
        <f>+M14-N14</f>
        <v>-340544</v>
      </c>
      <c r="P14" s="176"/>
      <c r="Q14" s="184" t="s">
        <v>1211</v>
      </c>
    </row>
    <row r="15" spans="1:17" s="113" customFormat="1" ht="20.100000000000001" customHeight="1">
      <c r="A15" s="106"/>
      <c r="B15" s="107"/>
      <c r="C15" s="107"/>
      <c r="D15" s="151"/>
      <c r="E15" s="472" t="s">
        <v>876</v>
      </c>
      <c r="F15" s="473"/>
      <c r="G15" s="473"/>
      <c r="H15" s="473"/>
      <c r="I15" s="473"/>
      <c r="J15" s="474"/>
      <c r="K15" s="474"/>
      <c r="L15" s="109"/>
      <c r="M15" s="109"/>
      <c r="N15" s="112"/>
      <c r="O15" s="112"/>
      <c r="P15" s="176"/>
      <c r="Q15" s="184"/>
    </row>
    <row r="16" spans="1:17" s="113" customFormat="1" ht="20.100000000000001" customHeight="1">
      <c r="A16" s="106"/>
      <c r="B16" s="107"/>
      <c r="C16" s="107"/>
      <c r="D16" s="151"/>
      <c r="E16" s="472"/>
      <c r="F16" s="473"/>
      <c r="G16" s="473"/>
      <c r="H16" s="473"/>
      <c r="I16" s="473"/>
      <c r="J16" s="474" t="s">
        <v>1212</v>
      </c>
      <c r="K16" s="474"/>
      <c r="L16" s="109">
        <f>ROUNDDOWN(46800000*1/1000,0)</f>
        <v>46800</v>
      </c>
      <c r="M16" s="109">
        <f>+L16</f>
        <v>46800</v>
      </c>
      <c r="N16" s="112">
        <v>47623</v>
      </c>
      <c r="O16" s="112">
        <f>+M16-N16</f>
        <v>-823</v>
      </c>
      <c r="P16" s="177"/>
      <c r="Q16" s="184" t="s">
        <v>1213</v>
      </c>
    </row>
    <row r="17" spans="1:17" s="113" customFormat="1" ht="20.100000000000001" customHeight="1">
      <c r="A17" s="106"/>
      <c r="B17" s="107"/>
      <c r="C17" s="107"/>
      <c r="D17" s="151"/>
      <c r="E17" s="472" t="s">
        <v>877</v>
      </c>
      <c r="F17" s="473"/>
      <c r="G17" s="473"/>
      <c r="H17" s="473"/>
      <c r="I17" s="473"/>
      <c r="J17" s="474"/>
      <c r="K17" s="474"/>
      <c r="L17" s="109"/>
      <c r="M17" s="109"/>
      <c r="N17" s="112"/>
      <c r="O17" s="112"/>
      <c r="P17" s="178"/>
      <c r="Q17" s="184"/>
    </row>
    <row r="18" spans="1:17" s="113" customFormat="1" ht="20.100000000000001" customHeight="1">
      <c r="A18" s="106"/>
      <c r="B18" s="107"/>
      <c r="C18" s="107"/>
      <c r="D18" s="151"/>
      <c r="E18" s="472"/>
      <c r="F18" s="473"/>
      <c r="G18" s="473"/>
      <c r="H18" s="473"/>
      <c r="I18" s="473"/>
      <c r="J18" s="474" t="s">
        <v>1214</v>
      </c>
      <c r="K18" s="474"/>
      <c r="L18" s="109">
        <f>ROUNDDOWN(17000000*0.001,0)</f>
        <v>17000</v>
      </c>
      <c r="M18" s="109">
        <f>+L18</f>
        <v>17000</v>
      </c>
      <c r="N18" s="112">
        <v>30962</v>
      </c>
      <c r="O18" s="112">
        <f>+M18-N18</f>
        <v>-13962</v>
      </c>
      <c r="P18" s="179"/>
      <c r="Q18" s="184" t="s">
        <v>1215</v>
      </c>
    </row>
    <row r="19" spans="1:17" s="118" customFormat="1" ht="20.100000000000001" customHeight="1">
      <c r="A19" s="133"/>
      <c r="B19" s="135"/>
      <c r="C19" s="135"/>
      <c r="D19" s="164"/>
      <c r="E19" s="482" t="s">
        <v>878</v>
      </c>
      <c r="F19" s="483"/>
      <c r="G19" s="483"/>
      <c r="H19" s="483"/>
      <c r="I19" s="483"/>
      <c r="J19" s="484"/>
      <c r="K19" s="484"/>
      <c r="L19" s="224"/>
      <c r="M19" s="109"/>
      <c r="N19" s="112"/>
      <c r="O19" s="112"/>
      <c r="P19" s="179"/>
      <c r="Q19" s="184"/>
    </row>
    <row r="20" spans="1:17" s="118" customFormat="1" ht="20.100000000000001" customHeight="1">
      <c r="A20" s="133"/>
      <c r="B20" s="135"/>
      <c r="C20" s="135"/>
      <c r="D20" s="164"/>
      <c r="E20" s="482"/>
      <c r="F20" s="483"/>
      <c r="G20" s="483"/>
      <c r="H20" s="483"/>
      <c r="I20" s="483"/>
      <c r="J20" s="484"/>
      <c r="K20" s="484"/>
      <c r="L20" s="224"/>
      <c r="M20" s="109">
        <f>+L20</f>
        <v>0</v>
      </c>
      <c r="N20" s="112">
        <v>21065</v>
      </c>
      <c r="O20" s="112">
        <f>+M20-N20</f>
        <v>-21065</v>
      </c>
      <c r="P20" s="179"/>
      <c r="Q20" s="184" t="s">
        <v>1216</v>
      </c>
    </row>
    <row r="21" spans="1:17" s="118" customFormat="1" ht="20.100000000000001" customHeight="1">
      <c r="A21" s="133"/>
      <c r="B21" s="135"/>
      <c r="C21" s="135"/>
      <c r="D21" s="164"/>
      <c r="E21" s="482" t="s">
        <v>879</v>
      </c>
      <c r="F21" s="483"/>
      <c r="G21" s="483"/>
      <c r="H21" s="483"/>
      <c r="I21" s="483"/>
      <c r="J21" s="474"/>
      <c r="K21" s="474"/>
      <c r="L21" s="109"/>
      <c r="M21" s="109"/>
      <c r="N21" s="112"/>
      <c r="O21" s="112"/>
      <c r="P21" s="179"/>
      <c r="Q21" s="184"/>
    </row>
    <row r="22" spans="1:17" s="118" customFormat="1" ht="20.100000000000001" customHeight="1">
      <c r="A22" s="133"/>
      <c r="B22" s="135"/>
      <c r="C22" s="135"/>
      <c r="D22" s="164"/>
      <c r="E22" s="472"/>
      <c r="F22" s="473"/>
      <c r="G22" s="473"/>
      <c r="H22" s="473"/>
      <c r="I22" s="473"/>
      <c r="J22" s="474"/>
      <c r="K22" s="474"/>
      <c r="L22" s="109"/>
      <c r="M22" s="109">
        <f>+L22</f>
        <v>0</v>
      </c>
      <c r="N22" s="112">
        <v>20520</v>
      </c>
      <c r="O22" s="112">
        <f>+M22-N22</f>
        <v>-20520</v>
      </c>
      <c r="P22" s="179"/>
      <c r="Q22" s="184" t="s">
        <v>1216</v>
      </c>
    </row>
    <row r="23" spans="1:17" s="118" customFormat="1" ht="20.100000000000001" customHeight="1">
      <c r="A23" s="133"/>
      <c r="B23" s="135"/>
      <c r="C23" s="135"/>
      <c r="D23" s="164"/>
      <c r="E23" s="482" t="s">
        <v>880</v>
      </c>
      <c r="F23" s="483"/>
      <c r="G23" s="483"/>
      <c r="H23" s="483"/>
      <c r="I23" s="483"/>
      <c r="J23" s="474"/>
      <c r="K23" s="474"/>
      <c r="L23" s="109"/>
      <c r="M23" s="109"/>
      <c r="N23" s="112"/>
      <c r="O23" s="112"/>
      <c r="P23" s="179"/>
      <c r="Q23" s="184"/>
    </row>
    <row r="24" spans="1:17" s="118" customFormat="1" ht="20.100000000000001" customHeight="1">
      <c r="A24" s="133"/>
      <c r="B24" s="135"/>
      <c r="C24" s="135"/>
      <c r="D24" s="164"/>
      <c r="E24" s="472"/>
      <c r="F24" s="473"/>
      <c r="G24" s="473"/>
      <c r="H24" s="473"/>
      <c r="I24" s="473"/>
      <c r="J24" s="474"/>
      <c r="K24" s="474"/>
      <c r="L24" s="109"/>
      <c r="M24" s="109">
        <f>+L24</f>
        <v>0</v>
      </c>
      <c r="N24" s="112">
        <v>19027</v>
      </c>
      <c r="O24" s="112">
        <f>+M24-N24</f>
        <v>-19027</v>
      </c>
      <c r="P24" s="179"/>
      <c r="Q24" s="184" t="s">
        <v>1216</v>
      </c>
    </row>
    <row r="25" spans="1:17" s="113" customFormat="1" ht="20.100000000000001" customHeight="1">
      <c r="A25" s="106"/>
      <c r="B25" s="107"/>
      <c r="C25" s="107"/>
      <c r="D25" s="151"/>
      <c r="E25" s="472" t="s">
        <v>881</v>
      </c>
      <c r="F25" s="473"/>
      <c r="G25" s="473"/>
      <c r="H25" s="473"/>
      <c r="I25" s="473"/>
      <c r="J25" s="474"/>
      <c r="K25" s="474"/>
      <c r="L25" s="109"/>
      <c r="M25" s="109"/>
      <c r="N25" s="112"/>
      <c r="O25" s="112"/>
      <c r="P25" s="179"/>
      <c r="Q25" s="184"/>
    </row>
    <row r="26" spans="1:17" s="113" customFormat="1" ht="20.100000000000001" customHeight="1">
      <c r="A26" s="106"/>
      <c r="B26" s="107"/>
      <c r="C26" s="107"/>
      <c r="D26" s="151"/>
      <c r="E26" s="472"/>
      <c r="F26" s="473"/>
      <c r="G26" s="473"/>
      <c r="H26" s="473"/>
      <c r="I26" s="473"/>
      <c r="J26" s="474" t="s">
        <v>1217</v>
      </c>
      <c r="K26" s="474"/>
      <c r="L26" s="109">
        <f>ROUNDDOWN(19600000*0.001,0)</f>
        <v>19600</v>
      </c>
      <c r="M26" s="109">
        <f>+L26</f>
        <v>19600</v>
      </c>
      <c r="N26" s="112">
        <v>21485</v>
      </c>
      <c r="O26" s="112">
        <f>+M26-N26</f>
        <v>-1885</v>
      </c>
      <c r="P26" s="179"/>
      <c r="Q26" s="184" t="s">
        <v>1213</v>
      </c>
    </row>
    <row r="27" spans="1:17" s="118" customFormat="1" ht="20.100000000000001" customHeight="1">
      <c r="A27" s="133"/>
      <c r="B27" s="135"/>
      <c r="C27" s="135"/>
      <c r="D27" s="164"/>
      <c r="E27" s="482" t="s">
        <v>882</v>
      </c>
      <c r="F27" s="483"/>
      <c r="G27" s="483"/>
      <c r="H27" s="483"/>
      <c r="I27" s="483"/>
      <c r="J27" s="474"/>
      <c r="K27" s="474"/>
      <c r="L27" s="109"/>
      <c r="M27" s="109"/>
      <c r="N27" s="112"/>
      <c r="O27" s="112"/>
      <c r="P27" s="179"/>
      <c r="Q27" s="184"/>
    </row>
    <row r="28" spans="1:17" s="118" customFormat="1" ht="20.100000000000001" customHeight="1">
      <c r="A28" s="133"/>
      <c r="B28" s="135"/>
      <c r="C28" s="135"/>
      <c r="D28" s="164"/>
      <c r="E28" s="472"/>
      <c r="F28" s="473"/>
      <c r="G28" s="473"/>
      <c r="H28" s="473"/>
      <c r="I28" s="473"/>
      <c r="J28" s="474"/>
      <c r="K28" s="474"/>
      <c r="L28" s="109"/>
      <c r="M28" s="109">
        <f>+L28</f>
        <v>0</v>
      </c>
      <c r="N28" s="112">
        <v>5941</v>
      </c>
      <c r="O28" s="112">
        <f>+M28-N28</f>
        <v>-5941</v>
      </c>
      <c r="P28" s="179"/>
      <c r="Q28" s="184" t="s">
        <v>1218</v>
      </c>
    </row>
    <row r="29" spans="1:17" s="113" customFormat="1" ht="20.100000000000001" customHeight="1">
      <c r="A29" s="106"/>
      <c r="B29" s="107"/>
      <c r="C29" s="107"/>
      <c r="D29" s="151"/>
      <c r="E29" s="472" t="s">
        <v>883</v>
      </c>
      <c r="F29" s="473"/>
      <c r="G29" s="473"/>
      <c r="H29" s="473"/>
      <c r="I29" s="473"/>
      <c r="J29" s="474"/>
      <c r="K29" s="474"/>
      <c r="L29" s="109"/>
      <c r="M29" s="109"/>
      <c r="N29" s="112"/>
      <c r="O29" s="112"/>
      <c r="P29" s="179"/>
      <c r="Q29" s="184"/>
    </row>
    <row r="30" spans="1:17" s="113" customFormat="1" ht="20.100000000000001" customHeight="1">
      <c r="A30" s="106"/>
      <c r="B30" s="107"/>
      <c r="C30" s="107"/>
      <c r="D30" s="151"/>
      <c r="E30" s="472"/>
      <c r="F30" s="473"/>
      <c r="G30" s="473"/>
      <c r="H30" s="473"/>
      <c r="I30" s="473"/>
      <c r="J30" s="474" t="s">
        <v>1219</v>
      </c>
      <c r="K30" s="474"/>
      <c r="L30" s="109">
        <f>ROUNDDOWN(33000000*0.001,0)</f>
        <v>33000</v>
      </c>
      <c r="M30" s="109">
        <f>+L30</f>
        <v>33000</v>
      </c>
      <c r="N30" s="112">
        <v>30811</v>
      </c>
      <c r="O30" s="112">
        <f>+M30-N30</f>
        <v>2189</v>
      </c>
      <c r="P30" s="179"/>
      <c r="Q30" s="184" t="s">
        <v>1220</v>
      </c>
    </row>
    <row r="31" spans="1:17" s="113" customFormat="1" ht="20.100000000000001" customHeight="1">
      <c r="A31" s="106"/>
      <c r="B31" s="107"/>
      <c r="C31" s="107"/>
      <c r="D31" s="151"/>
      <c r="E31" s="472" t="s">
        <v>1968</v>
      </c>
      <c r="F31" s="473"/>
      <c r="G31" s="473"/>
      <c r="H31" s="473"/>
      <c r="I31" s="473"/>
      <c r="J31" s="474"/>
      <c r="K31" s="474"/>
      <c r="L31" s="109"/>
      <c r="M31" s="109"/>
      <c r="N31" s="112"/>
      <c r="O31" s="112"/>
      <c r="P31" s="179"/>
      <c r="Q31" s="184"/>
    </row>
    <row r="32" spans="1:17" s="113" customFormat="1" ht="20.100000000000001" customHeight="1">
      <c r="A32" s="106"/>
      <c r="B32" s="107"/>
      <c r="C32" s="107"/>
      <c r="D32" s="151"/>
      <c r="E32" s="472"/>
      <c r="F32" s="473"/>
      <c r="G32" s="473"/>
      <c r="H32" s="473"/>
      <c r="I32" s="473"/>
      <c r="J32" s="474" t="s">
        <v>1221</v>
      </c>
      <c r="K32" s="474"/>
      <c r="L32" s="109">
        <f>ROUNDDOWN(300000*0.001,0)</f>
        <v>300</v>
      </c>
      <c r="M32" s="109">
        <f>+L32</f>
        <v>300</v>
      </c>
      <c r="N32" s="112">
        <v>19680</v>
      </c>
      <c r="O32" s="112">
        <f>+M32-N32</f>
        <v>-19380</v>
      </c>
      <c r="P32" s="179"/>
      <c r="Q32" s="184" t="s">
        <v>1222</v>
      </c>
    </row>
    <row r="33" spans="1:17" s="113" customFormat="1" ht="20.100000000000001" customHeight="1">
      <c r="A33" s="106"/>
      <c r="B33" s="107"/>
      <c r="C33" s="107"/>
      <c r="D33" s="151"/>
      <c r="E33" s="472" t="s">
        <v>884</v>
      </c>
      <c r="F33" s="473"/>
      <c r="G33" s="473"/>
      <c r="H33" s="473"/>
      <c r="I33" s="473"/>
      <c r="J33" s="474"/>
      <c r="K33" s="474"/>
      <c r="L33" s="109"/>
      <c r="M33" s="109"/>
      <c r="N33" s="112"/>
      <c r="O33" s="112"/>
      <c r="P33" s="179"/>
      <c r="Q33" s="184"/>
    </row>
    <row r="34" spans="1:17" s="113" customFormat="1" ht="20.100000000000001" customHeight="1">
      <c r="A34" s="106"/>
      <c r="B34" s="107"/>
      <c r="C34" s="107"/>
      <c r="D34" s="151"/>
      <c r="E34" s="472"/>
      <c r="F34" s="473"/>
      <c r="G34" s="473"/>
      <c r="H34" s="473"/>
      <c r="I34" s="473"/>
      <c r="J34" s="474" t="s">
        <v>1223</v>
      </c>
      <c r="K34" s="474"/>
      <c r="L34" s="109">
        <f>ROUNDDOWN(20900000*1/1000,0)</f>
        <v>20900</v>
      </c>
      <c r="M34" s="109">
        <f>+L34</f>
        <v>20900</v>
      </c>
      <c r="N34" s="112">
        <v>20750</v>
      </c>
      <c r="O34" s="112">
        <f>+M34-N34</f>
        <v>150</v>
      </c>
      <c r="P34" s="179"/>
      <c r="Q34" s="184" t="s">
        <v>1224</v>
      </c>
    </row>
    <row r="35" spans="1:17" s="113" customFormat="1" ht="20.100000000000001" customHeight="1">
      <c r="A35" s="106"/>
      <c r="B35" s="107"/>
      <c r="C35" s="107"/>
      <c r="D35" s="151"/>
      <c r="E35" s="472" t="s">
        <v>885</v>
      </c>
      <c r="F35" s="473"/>
      <c r="G35" s="473"/>
      <c r="H35" s="473"/>
      <c r="I35" s="473"/>
      <c r="J35" s="474"/>
      <c r="K35" s="474"/>
      <c r="L35" s="109"/>
      <c r="M35" s="109"/>
      <c r="N35" s="112"/>
      <c r="O35" s="112"/>
      <c r="P35" s="179"/>
      <c r="Q35" s="184"/>
    </row>
    <row r="36" spans="1:17" s="113" customFormat="1" ht="20.100000000000001" customHeight="1">
      <c r="A36" s="106"/>
      <c r="B36" s="107"/>
      <c r="C36" s="107"/>
      <c r="D36" s="151"/>
      <c r="E36" s="472"/>
      <c r="F36" s="473"/>
      <c r="G36" s="473"/>
      <c r="H36" s="473"/>
      <c r="I36" s="473"/>
      <c r="J36" s="474" t="s">
        <v>1225</v>
      </c>
      <c r="K36" s="474"/>
      <c r="L36" s="109">
        <f>ROUNDDOWN(11040000*0.001,0)</f>
        <v>11040</v>
      </c>
      <c r="M36" s="109">
        <f>+L36</f>
        <v>11040</v>
      </c>
      <c r="N36" s="112">
        <v>11525</v>
      </c>
      <c r="O36" s="112">
        <f>+M36-N36</f>
        <v>-485</v>
      </c>
      <c r="P36" s="179"/>
      <c r="Q36" s="184" t="s">
        <v>1224</v>
      </c>
    </row>
    <row r="37" spans="1:17" s="113" customFormat="1" ht="20.100000000000001" customHeight="1">
      <c r="A37" s="106"/>
      <c r="B37" s="107"/>
      <c r="C37" s="107"/>
      <c r="D37" s="151"/>
      <c r="E37" s="472" t="s">
        <v>886</v>
      </c>
      <c r="F37" s="473"/>
      <c r="G37" s="473"/>
      <c r="H37" s="473"/>
      <c r="I37" s="473"/>
      <c r="J37" s="474"/>
      <c r="K37" s="474"/>
      <c r="L37" s="109"/>
      <c r="M37" s="109"/>
      <c r="N37" s="112"/>
      <c r="O37" s="112"/>
      <c r="P37" s="179"/>
      <c r="Q37" s="184"/>
    </row>
    <row r="38" spans="1:17" s="113" customFormat="1" ht="20.100000000000001" customHeight="1">
      <c r="A38" s="106"/>
      <c r="B38" s="107"/>
      <c r="C38" s="107"/>
      <c r="D38" s="151"/>
      <c r="E38" s="472"/>
      <c r="F38" s="473"/>
      <c r="G38" s="473"/>
      <c r="H38" s="473"/>
      <c r="I38" s="473"/>
      <c r="J38" s="474" t="s">
        <v>1226</v>
      </c>
      <c r="K38" s="474"/>
      <c r="L38" s="109">
        <f>ROUNDDOWN(5800000*1/1000,0)</f>
        <v>5800</v>
      </c>
      <c r="M38" s="109">
        <f>+L38</f>
        <v>5800</v>
      </c>
      <c r="N38" s="112">
        <v>6889</v>
      </c>
      <c r="O38" s="112">
        <f>+M38-N38</f>
        <v>-1089</v>
      </c>
      <c r="P38" s="179"/>
      <c r="Q38" s="184" t="s">
        <v>1227</v>
      </c>
    </row>
    <row r="39" spans="1:17" s="118" customFormat="1" ht="20.100000000000001" customHeight="1">
      <c r="A39" s="133"/>
      <c r="B39" s="135"/>
      <c r="C39" s="135"/>
      <c r="D39" s="164"/>
      <c r="E39" s="482" t="s">
        <v>887</v>
      </c>
      <c r="F39" s="483"/>
      <c r="G39" s="483"/>
      <c r="H39" s="483"/>
      <c r="I39" s="483"/>
      <c r="J39" s="474"/>
      <c r="K39" s="474"/>
      <c r="L39" s="109"/>
      <c r="M39" s="109"/>
      <c r="N39" s="112"/>
      <c r="O39" s="112"/>
      <c r="P39" s="179"/>
      <c r="Q39" s="184"/>
    </row>
    <row r="40" spans="1:17" s="118" customFormat="1" ht="20.100000000000001" customHeight="1">
      <c r="A40" s="133"/>
      <c r="B40" s="135"/>
      <c r="C40" s="135"/>
      <c r="D40" s="164"/>
      <c r="E40" s="472"/>
      <c r="F40" s="473"/>
      <c r="G40" s="473"/>
      <c r="H40" s="473"/>
      <c r="I40" s="473"/>
      <c r="J40" s="474"/>
      <c r="K40" s="474"/>
      <c r="L40" s="109"/>
      <c r="M40" s="109">
        <f>+L40</f>
        <v>0</v>
      </c>
      <c r="N40" s="112">
        <v>38182</v>
      </c>
      <c r="O40" s="112">
        <f>+M40-N40</f>
        <v>-38182</v>
      </c>
      <c r="P40" s="179"/>
      <c r="Q40" s="184" t="s">
        <v>1228</v>
      </c>
    </row>
    <row r="41" spans="1:17" s="113" customFormat="1" ht="20.100000000000001" customHeight="1">
      <c r="A41" s="106"/>
      <c r="B41" s="107"/>
      <c r="C41" s="107"/>
      <c r="D41" s="151"/>
      <c r="E41" s="472" t="s">
        <v>1229</v>
      </c>
      <c r="F41" s="473"/>
      <c r="G41" s="473"/>
      <c r="H41" s="473"/>
      <c r="I41" s="473"/>
      <c r="J41" s="474"/>
      <c r="K41" s="474"/>
      <c r="L41" s="109"/>
      <c r="M41" s="109"/>
      <c r="N41" s="112"/>
      <c r="O41" s="112"/>
      <c r="P41" s="179"/>
      <c r="Q41" s="184"/>
    </row>
    <row r="42" spans="1:17" s="113" customFormat="1" ht="20.100000000000001" customHeight="1">
      <c r="A42" s="106"/>
      <c r="B42" s="107"/>
      <c r="C42" s="107"/>
      <c r="D42" s="151"/>
      <c r="E42" s="472"/>
      <c r="F42" s="473"/>
      <c r="G42" s="473"/>
      <c r="H42" s="473"/>
      <c r="I42" s="473"/>
      <c r="J42" s="474" t="s">
        <v>1230</v>
      </c>
      <c r="K42" s="474"/>
      <c r="L42" s="109">
        <f>ROUNDDOWN(7800000*1/1000,0)</f>
        <v>7800</v>
      </c>
      <c r="M42" s="109">
        <f>+L42</f>
        <v>7800</v>
      </c>
      <c r="N42" s="112">
        <v>0</v>
      </c>
      <c r="O42" s="112">
        <f>+M42-N42</f>
        <v>7800</v>
      </c>
      <c r="P42" s="179"/>
      <c r="Q42" s="184" t="s">
        <v>1220</v>
      </c>
    </row>
    <row r="43" spans="1:17" s="118" customFormat="1" ht="20.100000000000001" customHeight="1">
      <c r="A43" s="133"/>
      <c r="B43" s="133"/>
      <c r="C43" s="114"/>
      <c r="D43" s="115"/>
      <c r="E43" s="467"/>
      <c r="F43" s="468"/>
      <c r="G43" s="468"/>
      <c r="H43" s="468"/>
      <c r="I43" s="468"/>
      <c r="J43" s="469"/>
      <c r="K43" s="469"/>
      <c r="L43" s="116"/>
      <c r="M43" s="117"/>
      <c r="N43" s="117"/>
      <c r="O43" s="117"/>
      <c r="P43" s="179"/>
      <c r="Q43" s="185"/>
    </row>
    <row r="44" spans="1:17" ht="20.100000000000001" customHeight="1">
      <c r="A44" s="101"/>
      <c r="B44" s="103" t="s">
        <v>8</v>
      </c>
      <c r="C44" s="475" t="s">
        <v>888</v>
      </c>
      <c r="D44" s="475"/>
      <c r="E44" s="475"/>
      <c r="F44" s="475"/>
      <c r="G44" s="475" t="s">
        <v>889</v>
      </c>
      <c r="H44" s="475"/>
      <c r="I44" s="475"/>
      <c r="J44" s="475"/>
      <c r="K44" s="475"/>
      <c r="L44" s="476"/>
      <c r="M44" s="102">
        <f>+SUM(M45:M51)</f>
        <v>67800</v>
      </c>
      <c r="N44" s="102">
        <f>+SUM(N45:N51)</f>
        <v>135600</v>
      </c>
      <c r="O44" s="102">
        <f>+SUM(O45:O51)</f>
        <v>-67800</v>
      </c>
      <c r="P44" s="179"/>
      <c r="Q44" s="167"/>
    </row>
    <row r="45" spans="1:17" s="93" customFormat="1" ht="20.100000000000001" customHeight="1">
      <c r="A45" s="88"/>
      <c r="B45" s="89"/>
      <c r="C45" s="104"/>
      <c r="D45" s="105"/>
      <c r="E45" s="481" t="s">
        <v>890</v>
      </c>
      <c r="F45" s="481"/>
      <c r="G45" s="481"/>
      <c r="H45" s="481"/>
      <c r="I45" s="391" t="s">
        <v>1231</v>
      </c>
      <c r="J45" s="391"/>
      <c r="K45" s="391"/>
      <c r="L45" s="479"/>
      <c r="M45" s="91"/>
      <c r="N45" s="91"/>
      <c r="O45" s="163"/>
      <c r="P45" s="179"/>
      <c r="Q45" s="168"/>
    </row>
    <row r="46" spans="1:17" s="111" customFormat="1" ht="20.100000000000001" customHeight="1">
      <c r="A46" s="106"/>
      <c r="B46" s="107"/>
      <c r="C46" s="107"/>
      <c r="D46" s="151"/>
      <c r="E46" s="470" t="s">
        <v>891</v>
      </c>
      <c r="F46" s="471"/>
      <c r="G46" s="471"/>
      <c r="H46" s="471"/>
      <c r="I46" s="471"/>
      <c r="J46" s="471"/>
      <c r="K46" s="108"/>
      <c r="L46" s="249">
        <f>+L48+L50</f>
        <v>67800</v>
      </c>
      <c r="M46" s="110"/>
      <c r="N46" s="110"/>
      <c r="O46" s="110"/>
      <c r="P46" s="179"/>
      <c r="Q46" s="184"/>
    </row>
    <row r="47" spans="1:17" s="113" customFormat="1" ht="20.100000000000001" customHeight="1">
      <c r="A47" s="106"/>
      <c r="B47" s="107"/>
      <c r="C47" s="107"/>
      <c r="D47" s="151"/>
      <c r="E47" s="472" t="s">
        <v>892</v>
      </c>
      <c r="F47" s="473"/>
      <c r="G47" s="473"/>
      <c r="H47" s="473"/>
      <c r="I47" s="473"/>
      <c r="J47" s="474"/>
      <c r="K47" s="474"/>
      <c r="L47" s="109"/>
      <c r="M47" s="109"/>
      <c r="N47" s="112"/>
      <c r="O47" s="112"/>
      <c r="P47" s="179"/>
      <c r="Q47" s="184"/>
    </row>
    <row r="48" spans="1:17" s="113" customFormat="1" ht="20.100000000000001" customHeight="1">
      <c r="A48" s="106"/>
      <c r="B48" s="107"/>
      <c r="C48" s="107"/>
      <c r="D48" s="151"/>
      <c r="E48" s="472"/>
      <c r="F48" s="473"/>
      <c r="G48" s="473"/>
      <c r="H48" s="473"/>
      <c r="I48" s="473"/>
      <c r="J48" s="480" t="s">
        <v>1232</v>
      </c>
      <c r="K48" s="480"/>
      <c r="L48" s="109">
        <f>ROUNDDOWN(4350000*0.012,0)</f>
        <v>52200</v>
      </c>
      <c r="M48" s="109">
        <f>+L48</f>
        <v>52200</v>
      </c>
      <c r="N48" s="112">
        <v>120000</v>
      </c>
      <c r="O48" s="112">
        <f>+M48-N48</f>
        <v>-67800</v>
      </c>
      <c r="P48" s="179"/>
      <c r="Q48" s="186" t="s">
        <v>1233</v>
      </c>
    </row>
    <row r="49" spans="1:17" s="113" customFormat="1" ht="20.100000000000001" customHeight="1">
      <c r="A49" s="106"/>
      <c r="B49" s="107"/>
      <c r="C49" s="107"/>
      <c r="D49" s="151"/>
      <c r="E49" s="472" t="s">
        <v>893</v>
      </c>
      <c r="F49" s="473"/>
      <c r="G49" s="473"/>
      <c r="H49" s="473"/>
      <c r="I49" s="473"/>
      <c r="J49" s="474"/>
      <c r="K49" s="474"/>
      <c r="L49" s="109"/>
      <c r="M49" s="109"/>
      <c r="N49" s="112"/>
      <c r="O49" s="112"/>
      <c r="P49" s="179"/>
      <c r="Q49" s="184"/>
    </row>
    <row r="50" spans="1:17" s="113" customFormat="1" ht="20.100000000000001" customHeight="1">
      <c r="A50" s="106"/>
      <c r="B50" s="107"/>
      <c r="C50" s="107"/>
      <c r="D50" s="151"/>
      <c r="E50" s="472"/>
      <c r="F50" s="473"/>
      <c r="G50" s="473"/>
      <c r="H50" s="473"/>
      <c r="I50" s="473"/>
      <c r="J50" s="474" t="s">
        <v>894</v>
      </c>
      <c r="K50" s="474"/>
      <c r="L50" s="109">
        <f>ROUNDDOWN(1300000*0.012,0)</f>
        <v>15600</v>
      </c>
      <c r="M50" s="109">
        <f>+L50</f>
        <v>15600</v>
      </c>
      <c r="N50" s="112">
        <v>15600</v>
      </c>
      <c r="O50" s="112">
        <f>+M50-N50</f>
        <v>0</v>
      </c>
      <c r="P50" s="179"/>
      <c r="Q50" s="184"/>
    </row>
    <row r="51" spans="1:17" s="118" customFormat="1" ht="20.100000000000001" customHeight="1">
      <c r="A51" s="133"/>
      <c r="B51" s="133"/>
      <c r="C51" s="114"/>
      <c r="D51" s="115"/>
      <c r="E51" s="467"/>
      <c r="F51" s="468"/>
      <c r="G51" s="468"/>
      <c r="H51" s="468"/>
      <c r="I51" s="468"/>
      <c r="J51" s="469"/>
      <c r="K51" s="469"/>
      <c r="L51" s="116"/>
      <c r="M51" s="117"/>
      <c r="N51" s="117"/>
      <c r="O51" s="117"/>
      <c r="P51" s="179"/>
      <c r="Q51" s="185"/>
    </row>
    <row r="52" spans="1:17" ht="20.100000000000001" customHeight="1">
      <c r="A52" s="101"/>
      <c r="B52" s="103" t="s">
        <v>8</v>
      </c>
      <c r="C52" s="475" t="s">
        <v>895</v>
      </c>
      <c r="D52" s="475"/>
      <c r="E52" s="475"/>
      <c r="F52" s="475"/>
      <c r="G52" s="475" t="s">
        <v>896</v>
      </c>
      <c r="H52" s="475"/>
      <c r="I52" s="475"/>
      <c r="J52" s="475"/>
      <c r="K52" s="475"/>
      <c r="L52" s="476"/>
      <c r="M52" s="102">
        <f>+SUM(M53:M58)</f>
        <v>1284000</v>
      </c>
      <c r="N52" s="102">
        <f>+SUM(N53:N58)</f>
        <v>1260000</v>
      </c>
      <c r="O52" s="102">
        <f>+SUM(O53:O58)</f>
        <v>24000</v>
      </c>
      <c r="P52" s="179"/>
      <c r="Q52" s="167"/>
    </row>
    <row r="53" spans="1:17" s="93" customFormat="1" ht="20.100000000000001" customHeight="1">
      <c r="A53" s="88"/>
      <c r="B53" s="89"/>
      <c r="C53" s="104"/>
      <c r="D53" s="105"/>
      <c r="E53" s="477" t="s">
        <v>1969</v>
      </c>
      <c r="F53" s="478"/>
      <c r="G53" s="478"/>
      <c r="H53" s="478"/>
      <c r="I53" s="391" t="s">
        <v>1234</v>
      </c>
      <c r="J53" s="391"/>
      <c r="K53" s="391"/>
      <c r="L53" s="479"/>
      <c r="M53" s="91"/>
      <c r="N53" s="91"/>
      <c r="O53" s="163"/>
      <c r="P53" s="179"/>
      <c r="Q53" s="168"/>
    </row>
    <row r="54" spans="1:17" s="111" customFormat="1" ht="20.100000000000001" customHeight="1">
      <c r="A54" s="106"/>
      <c r="B54" s="107"/>
      <c r="C54" s="107"/>
      <c r="D54" s="151"/>
      <c r="E54" s="470" t="s">
        <v>897</v>
      </c>
      <c r="F54" s="471"/>
      <c r="G54" s="471"/>
      <c r="H54" s="471"/>
      <c r="I54" s="471"/>
      <c r="J54" s="471"/>
      <c r="K54" s="108"/>
      <c r="L54" s="109"/>
      <c r="M54" s="110"/>
      <c r="N54" s="110"/>
      <c r="O54" s="110"/>
      <c r="P54" s="179"/>
      <c r="Q54" s="184"/>
    </row>
    <row r="55" spans="1:17" s="113" customFormat="1" ht="20.100000000000001" customHeight="1">
      <c r="A55" s="106"/>
      <c r="B55" s="107"/>
      <c r="C55" s="107"/>
      <c r="D55" s="151"/>
      <c r="E55" s="472"/>
      <c r="F55" s="473"/>
      <c r="G55" s="473"/>
      <c r="H55" s="473"/>
      <c r="I55" s="473"/>
      <c r="J55" s="474" t="s">
        <v>1235</v>
      </c>
      <c r="K55" s="474"/>
      <c r="L55" s="109">
        <f>ROUNDDOWN(86000000*0.012,0)</f>
        <v>1032000</v>
      </c>
      <c r="M55" s="109">
        <f>+L55</f>
        <v>1032000</v>
      </c>
      <c r="N55" s="112">
        <v>1020000</v>
      </c>
      <c r="O55" s="112">
        <f>+M55-N55</f>
        <v>12000</v>
      </c>
      <c r="P55" s="179"/>
      <c r="Q55" s="187" t="s">
        <v>1236</v>
      </c>
    </row>
    <row r="56" spans="1:17" s="118" customFormat="1" ht="20.100000000000001" customHeight="1">
      <c r="A56" s="133"/>
      <c r="B56" s="133"/>
      <c r="C56" s="135"/>
      <c r="D56" s="136"/>
      <c r="E56" s="470" t="s">
        <v>898</v>
      </c>
      <c r="F56" s="471"/>
      <c r="G56" s="471"/>
      <c r="H56" s="471"/>
      <c r="I56" s="471"/>
      <c r="J56" s="471"/>
      <c r="K56" s="108"/>
      <c r="L56" s="109"/>
      <c r="M56" s="110"/>
      <c r="N56" s="110"/>
      <c r="O56" s="110"/>
      <c r="P56" s="179"/>
      <c r="Q56" s="184"/>
    </row>
    <row r="57" spans="1:17" s="93" customFormat="1" ht="20.100000000000001" customHeight="1">
      <c r="A57" s="88"/>
      <c r="B57" s="89"/>
      <c r="C57" s="104"/>
      <c r="D57" s="134"/>
      <c r="E57" s="472"/>
      <c r="F57" s="473"/>
      <c r="G57" s="473"/>
      <c r="H57" s="473"/>
      <c r="I57" s="473"/>
      <c r="J57" s="474" t="s">
        <v>1237</v>
      </c>
      <c r="K57" s="474"/>
      <c r="L57" s="109">
        <f>ROUNDDOWN(21000000*0.012,0)</f>
        <v>252000</v>
      </c>
      <c r="M57" s="109">
        <f>+L57</f>
        <v>252000</v>
      </c>
      <c r="N57" s="112">
        <v>240000</v>
      </c>
      <c r="O57" s="112">
        <f>+M57-N57</f>
        <v>12000</v>
      </c>
      <c r="P57" s="179"/>
      <c r="Q57" s="187" t="s">
        <v>1236</v>
      </c>
    </row>
    <row r="58" spans="1:17" s="113" customFormat="1" ht="20.100000000000001" customHeight="1">
      <c r="A58" s="125"/>
      <c r="B58" s="126"/>
      <c r="C58" s="114"/>
      <c r="D58" s="115"/>
      <c r="E58" s="467"/>
      <c r="F58" s="468"/>
      <c r="G58" s="468"/>
      <c r="H58" s="468"/>
      <c r="I58" s="468"/>
      <c r="J58" s="469"/>
      <c r="K58" s="469"/>
      <c r="L58" s="116"/>
      <c r="M58" s="116"/>
      <c r="N58" s="117"/>
      <c r="O58" s="117"/>
      <c r="P58" s="179"/>
      <c r="Q58" s="185"/>
    </row>
    <row r="59" spans="1:17" ht="7.5" customHeight="1">
      <c r="M59" s="119"/>
      <c r="N59" s="119"/>
      <c r="O59" s="165"/>
      <c r="P59" s="179"/>
      <c r="Q59" s="119"/>
    </row>
    <row r="60" spans="1:17" ht="20.100000000000001" customHeight="1">
      <c r="M60" s="119"/>
      <c r="N60" s="119"/>
      <c r="O60" s="165"/>
      <c r="P60" s="179"/>
      <c r="Q60" s="119"/>
    </row>
    <row r="61" spans="1:17" ht="20.100000000000001" customHeight="1">
      <c r="M61" s="119"/>
      <c r="N61" s="119"/>
      <c r="O61" s="165"/>
      <c r="P61" s="179"/>
      <c r="Q61" s="119"/>
    </row>
    <row r="62" spans="1:17" ht="20.100000000000001" customHeight="1">
      <c r="M62" s="119"/>
      <c r="N62" s="119"/>
      <c r="O62" s="165"/>
      <c r="P62" s="179"/>
      <c r="Q62" s="119"/>
    </row>
    <row r="63" spans="1:17" ht="20.100000000000001" customHeight="1">
      <c r="M63" s="119"/>
      <c r="N63" s="119"/>
      <c r="O63" s="165"/>
      <c r="P63" s="179"/>
      <c r="Q63" s="119"/>
    </row>
    <row r="64" spans="1:17" ht="20.100000000000001" customHeight="1">
      <c r="M64" s="119"/>
      <c r="N64" s="119"/>
      <c r="O64" s="165"/>
      <c r="P64" s="179"/>
      <c r="Q64" s="119"/>
    </row>
    <row r="65" spans="13:17" ht="20.100000000000001" customHeight="1">
      <c r="M65" s="119"/>
      <c r="N65" s="119"/>
      <c r="O65" s="165"/>
      <c r="P65" s="179"/>
      <c r="Q65" s="119"/>
    </row>
    <row r="66" spans="13:17" ht="20.100000000000001" customHeight="1">
      <c r="M66" s="119"/>
      <c r="N66" s="119"/>
      <c r="O66" s="165"/>
      <c r="P66" s="179"/>
      <c r="Q66" s="119"/>
    </row>
    <row r="67" spans="13:17" ht="20.100000000000001" customHeight="1">
      <c r="M67" s="119"/>
      <c r="N67" s="119"/>
      <c r="O67" s="165"/>
      <c r="P67" s="179"/>
      <c r="Q67" s="119"/>
    </row>
    <row r="68" spans="13:17" ht="20.100000000000001" customHeight="1">
      <c r="M68" s="119"/>
      <c r="N68" s="119"/>
      <c r="O68" s="165"/>
      <c r="P68" s="179"/>
      <c r="Q68" s="119"/>
    </row>
    <row r="69" spans="13:17" ht="20.100000000000001" customHeight="1">
      <c r="M69" s="119"/>
      <c r="N69" s="119"/>
      <c r="O69" s="165"/>
      <c r="P69" s="179"/>
      <c r="Q69" s="119"/>
    </row>
    <row r="70" spans="13:17" ht="20.100000000000001" customHeight="1">
      <c r="M70" s="119"/>
      <c r="N70" s="119"/>
      <c r="O70" s="165"/>
      <c r="P70" s="179"/>
      <c r="Q70" s="119"/>
    </row>
    <row r="71" spans="13:17" ht="20.100000000000001" customHeight="1">
      <c r="M71" s="119"/>
      <c r="N71" s="119"/>
      <c r="O71" s="165"/>
      <c r="P71" s="179"/>
      <c r="Q71" s="119"/>
    </row>
    <row r="72" spans="13:17" ht="20.100000000000001" customHeight="1">
      <c r="M72" s="119"/>
      <c r="N72" s="119"/>
      <c r="O72" s="165"/>
      <c r="P72" s="179"/>
      <c r="Q72" s="119"/>
    </row>
    <row r="73" spans="13:17" ht="20.100000000000001" customHeight="1">
      <c r="M73" s="119"/>
      <c r="N73" s="119"/>
      <c r="O73" s="165"/>
      <c r="P73" s="179"/>
      <c r="Q73" s="119"/>
    </row>
    <row r="74" spans="13:17" ht="20.100000000000001" customHeight="1">
      <c r="M74" s="119"/>
      <c r="N74" s="119"/>
      <c r="O74" s="165"/>
      <c r="P74" s="179"/>
      <c r="Q74" s="119"/>
    </row>
    <row r="75" spans="13:17" ht="20.100000000000001" customHeight="1">
      <c r="M75" s="119"/>
      <c r="N75" s="119"/>
      <c r="O75" s="165"/>
      <c r="P75" s="179"/>
      <c r="Q75" s="119"/>
    </row>
    <row r="76" spans="13:17" ht="20.100000000000001" customHeight="1">
      <c r="M76" s="119"/>
      <c r="N76" s="119"/>
      <c r="O76" s="165"/>
      <c r="P76" s="179"/>
      <c r="Q76" s="119"/>
    </row>
    <row r="77" spans="13:17" ht="20.100000000000001" customHeight="1">
      <c r="M77" s="119"/>
      <c r="N77" s="119"/>
      <c r="O77" s="165"/>
      <c r="P77" s="179"/>
      <c r="Q77" s="119"/>
    </row>
    <row r="78" spans="13:17" ht="20.100000000000001" customHeight="1">
      <c r="M78" s="119"/>
      <c r="N78" s="119"/>
      <c r="O78" s="165"/>
      <c r="P78" s="179"/>
      <c r="Q78" s="119"/>
    </row>
    <row r="79" spans="13:17" ht="20.100000000000001" customHeight="1">
      <c r="M79" s="119"/>
      <c r="N79" s="119"/>
      <c r="O79" s="165"/>
      <c r="P79" s="179"/>
      <c r="Q79" s="119"/>
    </row>
    <row r="80" spans="13:17" ht="20.100000000000001" customHeight="1">
      <c r="M80" s="119"/>
      <c r="N80" s="119"/>
      <c r="O80" s="165"/>
      <c r="P80" s="179"/>
      <c r="Q80" s="119"/>
    </row>
    <row r="81" spans="13:17" ht="20.100000000000001" customHeight="1">
      <c r="M81" s="119"/>
      <c r="N81" s="119"/>
      <c r="O81" s="165"/>
      <c r="P81" s="179"/>
      <c r="Q81" s="119"/>
    </row>
    <row r="82" spans="13:17" ht="20.100000000000001" customHeight="1">
      <c r="M82" s="119"/>
      <c r="N82" s="119"/>
      <c r="O82" s="165"/>
      <c r="P82" s="179"/>
      <c r="Q82" s="119"/>
    </row>
    <row r="83" spans="13:17" ht="20.100000000000001" customHeight="1">
      <c r="M83" s="119"/>
      <c r="N83" s="119"/>
      <c r="O83" s="165"/>
      <c r="P83" s="179"/>
      <c r="Q83" s="119"/>
    </row>
    <row r="84" spans="13:17" ht="20.100000000000001" customHeight="1">
      <c r="M84" s="119"/>
      <c r="N84" s="119"/>
      <c r="O84" s="165"/>
      <c r="P84" s="179"/>
      <c r="Q84" s="119"/>
    </row>
    <row r="85" spans="13:17" ht="20.100000000000001" customHeight="1">
      <c r="M85" s="119"/>
      <c r="N85" s="119"/>
      <c r="O85" s="165"/>
      <c r="P85" s="179"/>
      <c r="Q85" s="119"/>
    </row>
    <row r="86" spans="13:17" ht="20.100000000000001" customHeight="1">
      <c r="M86" s="119"/>
      <c r="N86" s="119"/>
      <c r="O86" s="165"/>
      <c r="P86" s="179"/>
      <c r="Q86" s="119"/>
    </row>
    <row r="87" spans="13:17" ht="20.100000000000001" customHeight="1">
      <c r="M87" s="119"/>
      <c r="N87" s="119"/>
      <c r="O87" s="165"/>
      <c r="P87" s="179"/>
      <c r="Q87" s="119"/>
    </row>
    <row r="88" spans="13:17" ht="20.100000000000001" customHeight="1">
      <c r="M88" s="119"/>
      <c r="N88" s="119"/>
      <c r="O88" s="165"/>
      <c r="P88" s="179"/>
      <c r="Q88" s="119"/>
    </row>
    <row r="89" spans="13:17" ht="20.100000000000001" customHeight="1">
      <c r="M89" s="119"/>
      <c r="N89" s="119"/>
      <c r="O89" s="165"/>
      <c r="P89" s="179"/>
      <c r="Q89" s="119"/>
    </row>
    <row r="90" spans="13:17" ht="20.100000000000001" customHeight="1">
      <c r="M90" s="119"/>
      <c r="N90" s="119"/>
      <c r="O90" s="165"/>
      <c r="P90" s="179"/>
      <c r="Q90" s="119"/>
    </row>
    <row r="91" spans="13:17" ht="20.100000000000001" customHeight="1">
      <c r="M91" s="119"/>
      <c r="N91" s="119"/>
      <c r="O91" s="165"/>
      <c r="P91" s="179"/>
      <c r="Q91" s="119"/>
    </row>
    <row r="92" spans="13:17" ht="20.100000000000001" customHeight="1">
      <c r="M92" s="119"/>
      <c r="N92" s="119"/>
      <c r="O92" s="165"/>
      <c r="P92" s="179"/>
      <c r="Q92" s="119"/>
    </row>
    <row r="93" spans="13:17" ht="20.100000000000001" customHeight="1">
      <c r="M93" s="119"/>
      <c r="N93" s="119"/>
      <c r="O93" s="165"/>
      <c r="P93" s="179"/>
      <c r="Q93" s="119"/>
    </row>
    <row r="94" spans="13:17" ht="20.100000000000001" customHeight="1">
      <c r="M94" s="119"/>
      <c r="N94" s="119"/>
      <c r="O94" s="165"/>
      <c r="P94" s="179"/>
      <c r="Q94" s="119"/>
    </row>
    <row r="95" spans="13:17" ht="20.100000000000001" customHeight="1">
      <c r="M95" s="119"/>
      <c r="N95" s="119"/>
      <c r="O95" s="165"/>
      <c r="P95" s="179"/>
      <c r="Q95" s="119"/>
    </row>
    <row r="96" spans="13:17" ht="20.100000000000001" customHeight="1">
      <c r="M96" s="119"/>
      <c r="N96" s="119"/>
      <c r="O96" s="165"/>
      <c r="P96" s="179"/>
      <c r="Q96" s="119"/>
    </row>
    <row r="97" spans="13:17" ht="20.100000000000001" customHeight="1">
      <c r="M97" s="119"/>
      <c r="N97" s="119"/>
      <c r="O97" s="165"/>
      <c r="P97" s="179"/>
      <c r="Q97" s="119"/>
    </row>
    <row r="98" spans="13:17" ht="20.100000000000001" customHeight="1">
      <c r="M98" s="119"/>
      <c r="N98" s="119"/>
      <c r="O98" s="165"/>
      <c r="P98" s="179"/>
      <c r="Q98" s="119"/>
    </row>
    <row r="99" spans="13:17" ht="20.100000000000001" customHeight="1">
      <c r="M99" s="119"/>
      <c r="N99" s="119"/>
      <c r="O99" s="165"/>
      <c r="P99" s="179"/>
      <c r="Q99" s="119"/>
    </row>
    <row r="100" spans="13:17" ht="20.100000000000001" customHeight="1">
      <c r="M100" s="119"/>
      <c r="N100" s="119"/>
      <c r="O100" s="165"/>
      <c r="P100" s="179"/>
      <c r="Q100" s="119"/>
    </row>
    <row r="101" spans="13:17" ht="20.100000000000001" customHeight="1">
      <c r="M101" s="119"/>
      <c r="N101" s="119"/>
      <c r="O101" s="165"/>
      <c r="P101" s="179"/>
      <c r="Q101" s="119"/>
    </row>
    <row r="102" spans="13:17" ht="20.100000000000001" customHeight="1">
      <c r="M102" s="119"/>
      <c r="N102" s="119"/>
      <c r="O102" s="165"/>
      <c r="P102" s="179"/>
      <c r="Q102" s="119"/>
    </row>
    <row r="103" spans="13:17" ht="20.100000000000001" customHeight="1">
      <c r="M103" s="119"/>
      <c r="N103" s="119"/>
      <c r="O103" s="165"/>
      <c r="P103" s="179"/>
      <c r="Q103" s="119"/>
    </row>
    <row r="104" spans="13:17" ht="20.100000000000001" customHeight="1">
      <c r="M104" s="119"/>
      <c r="N104" s="119"/>
      <c r="O104" s="165"/>
      <c r="P104" s="179"/>
      <c r="Q104" s="119"/>
    </row>
    <row r="105" spans="13:17" ht="20.100000000000001" customHeight="1">
      <c r="M105" s="119"/>
      <c r="N105" s="119"/>
      <c r="O105" s="165"/>
      <c r="P105" s="179"/>
      <c r="Q105" s="119"/>
    </row>
    <row r="106" spans="13:17" ht="20.100000000000001" customHeight="1">
      <c r="M106" s="119"/>
      <c r="N106" s="119"/>
      <c r="O106" s="165"/>
      <c r="P106" s="179"/>
      <c r="Q106" s="119"/>
    </row>
    <row r="107" spans="13:17" ht="20.100000000000001" customHeight="1">
      <c r="M107" s="119"/>
      <c r="N107" s="119"/>
      <c r="O107" s="165"/>
      <c r="P107" s="179"/>
      <c r="Q107" s="119"/>
    </row>
    <row r="108" spans="13:17" ht="20.100000000000001" customHeight="1">
      <c r="M108" s="119"/>
      <c r="N108" s="119"/>
      <c r="O108" s="165"/>
      <c r="P108" s="179"/>
      <c r="Q108" s="119"/>
    </row>
    <row r="109" spans="13:17" ht="20.100000000000001" customHeight="1">
      <c r="M109" s="119"/>
      <c r="N109" s="119"/>
      <c r="O109" s="165"/>
      <c r="P109" s="179"/>
      <c r="Q109" s="119"/>
    </row>
    <row r="110" spans="13:17" ht="20.100000000000001" customHeight="1">
      <c r="M110" s="119"/>
      <c r="N110" s="119"/>
      <c r="O110" s="165"/>
      <c r="P110" s="179"/>
      <c r="Q110" s="119"/>
    </row>
    <row r="111" spans="13:17" ht="20.100000000000001" customHeight="1">
      <c r="M111" s="119"/>
      <c r="N111" s="119"/>
      <c r="O111" s="165"/>
      <c r="P111" s="179"/>
      <c r="Q111" s="119"/>
    </row>
    <row r="112" spans="13:17" ht="20.100000000000001" customHeight="1">
      <c r="M112" s="119"/>
      <c r="N112" s="119"/>
      <c r="O112" s="165"/>
      <c r="P112" s="179"/>
      <c r="Q112" s="119"/>
    </row>
    <row r="113" spans="13:17" ht="20.100000000000001" customHeight="1">
      <c r="M113" s="119"/>
      <c r="N113" s="119"/>
      <c r="O113" s="165"/>
      <c r="P113" s="179"/>
      <c r="Q113" s="119"/>
    </row>
    <row r="114" spans="13:17" ht="20.100000000000001" customHeight="1">
      <c r="M114" s="119"/>
      <c r="N114" s="119"/>
      <c r="O114" s="165"/>
      <c r="P114" s="179"/>
      <c r="Q114" s="119"/>
    </row>
    <row r="115" spans="13:17" ht="20.100000000000001" customHeight="1">
      <c r="M115" s="119"/>
      <c r="N115" s="119"/>
      <c r="O115" s="165"/>
      <c r="P115" s="179"/>
      <c r="Q115" s="119"/>
    </row>
    <row r="116" spans="13:17" ht="20.100000000000001" customHeight="1">
      <c r="M116" s="119"/>
      <c r="N116" s="119"/>
      <c r="O116" s="165"/>
      <c r="P116" s="179"/>
      <c r="Q116" s="119"/>
    </row>
    <row r="117" spans="13:17" ht="20.100000000000001" customHeight="1">
      <c r="M117" s="119"/>
      <c r="N117" s="119"/>
      <c r="O117" s="165"/>
      <c r="P117" s="179"/>
      <c r="Q117" s="119"/>
    </row>
    <row r="118" spans="13:17" ht="20.100000000000001" customHeight="1">
      <c r="M118" s="119"/>
      <c r="N118" s="119"/>
      <c r="O118" s="165"/>
      <c r="P118" s="179"/>
      <c r="Q118" s="119"/>
    </row>
    <row r="119" spans="13:17" ht="20.100000000000001" customHeight="1">
      <c r="M119" s="119"/>
      <c r="N119" s="119"/>
      <c r="O119" s="165"/>
      <c r="P119" s="179"/>
      <c r="Q119" s="119"/>
    </row>
    <row r="120" spans="13:17" ht="20.100000000000001" customHeight="1">
      <c r="M120" s="119"/>
      <c r="N120" s="119"/>
      <c r="O120" s="165"/>
      <c r="P120" s="179"/>
      <c r="Q120" s="119"/>
    </row>
    <row r="121" spans="13:17" ht="20.100000000000001" customHeight="1">
      <c r="M121" s="119"/>
      <c r="N121" s="119"/>
      <c r="O121" s="165"/>
      <c r="P121" s="179"/>
      <c r="Q121" s="119"/>
    </row>
    <row r="122" spans="13:17" ht="20.100000000000001" customHeight="1">
      <c r="M122" s="119"/>
      <c r="N122" s="119"/>
      <c r="O122" s="165"/>
      <c r="P122" s="179"/>
      <c r="Q122" s="119"/>
    </row>
    <row r="123" spans="13:17" ht="20.100000000000001" customHeight="1">
      <c r="M123" s="119"/>
      <c r="N123" s="119"/>
      <c r="O123" s="165"/>
      <c r="P123" s="179"/>
      <c r="Q123" s="119"/>
    </row>
    <row r="124" spans="13:17" ht="20.100000000000001" customHeight="1">
      <c r="M124" s="119"/>
      <c r="N124" s="119"/>
      <c r="O124" s="165"/>
      <c r="P124" s="179"/>
      <c r="Q124" s="119"/>
    </row>
    <row r="125" spans="13:17" ht="20.100000000000001" customHeight="1">
      <c r="M125" s="119"/>
      <c r="N125" s="119"/>
      <c r="O125" s="165"/>
      <c r="P125" s="179"/>
      <c r="Q125" s="119"/>
    </row>
    <row r="126" spans="13:17" ht="20.100000000000001" customHeight="1">
      <c r="M126" s="119"/>
      <c r="N126" s="119"/>
      <c r="O126" s="165"/>
      <c r="P126" s="179"/>
      <c r="Q126" s="119"/>
    </row>
    <row r="127" spans="13:17" ht="20.100000000000001" customHeight="1">
      <c r="M127" s="119"/>
      <c r="N127" s="119"/>
      <c r="O127" s="165"/>
      <c r="P127" s="179"/>
      <c r="Q127" s="119"/>
    </row>
    <row r="128" spans="13:17" ht="20.100000000000001" customHeight="1">
      <c r="M128" s="119"/>
      <c r="N128" s="119"/>
      <c r="O128" s="165"/>
      <c r="P128" s="179"/>
      <c r="Q128" s="119"/>
    </row>
    <row r="129" spans="13:17" ht="20.100000000000001" customHeight="1">
      <c r="M129" s="119"/>
      <c r="N129" s="119"/>
      <c r="O129" s="165"/>
      <c r="P129" s="179"/>
      <c r="Q129" s="119"/>
    </row>
    <row r="130" spans="13:17" ht="20.100000000000001" customHeight="1">
      <c r="M130" s="119"/>
      <c r="N130" s="119"/>
      <c r="O130" s="165"/>
      <c r="P130" s="179"/>
      <c r="Q130" s="119"/>
    </row>
    <row r="131" spans="13:17" ht="20.100000000000001" customHeight="1">
      <c r="M131" s="119"/>
      <c r="N131" s="119"/>
      <c r="O131" s="165"/>
      <c r="P131" s="179"/>
      <c r="Q131" s="119"/>
    </row>
    <row r="132" spans="13:17" ht="20.100000000000001" customHeight="1">
      <c r="M132" s="119"/>
      <c r="N132" s="119"/>
      <c r="O132" s="165"/>
      <c r="P132" s="179"/>
      <c r="Q132" s="119"/>
    </row>
    <row r="133" spans="13:17" ht="20.100000000000001" customHeight="1">
      <c r="M133" s="119"/>
      <c r="N133" s="119"/>
      <c r="O133" s="165"/>
      <c r="P133" s="179"/>
      <c r="Q133" s="119"/>
    </row>
    <row r="134" spans="13:17" ht="20.100000000000001" customHeight="1">
      <c r="M134" s="119"/>
      <c r="N134" s="119"/>
      <c r="O134" s="165"/>
      <c r="P134" s="179"/>
      <c r="Q134" s="119"/>
    </row>
    <row r="135" spans="13:17" ht="20.100000000000001" customHeight="1">
      <c r="M135" s="119"/>
      <c r="N135" s="119"/>
      <c r="O135" s="165"/>
      <c r="P135" s="179"/>
      <c r="Q135" s="119"/>
    </row>
    <row r="136" spans="13:17" ht="20.100000000000001" customHeight="1">
      <c r="M136" s="119"/>
      <c r="N136" s="119"/>
      <c r="O136" s="165"/>
      <c r="P136" s="179"/>
      <c r="Q136" s="119"/>
    </row>
    <row r="137" spans="13:17" ht="20.100000000000001" customHeight="1">
      <c r="M137" s="119"/>
      <c r="N137" s="119"/>
      <c r="O137" s="165"/>
      <c r="P137" s="179"/>
      <c r="Q137" s="119"/>
    </row>
    <row r="138" spans="13:17" ht="20.100000000000001" customHeight="1">
      <c r="M138" s="119"/>
      <c r="N138" s="119"/>
      <c r="O138" s="165"/>
      <c r="P138" s="179"/>
      <c r="Q138" s="119"/>
    </row>
    <row r="139" spans="13:17" ht="20.100000000000001" customHeight="1">
      <c r="M139" s="119"/>
      <c r="N139" s="119"/>
      <c r="O139" s="165"/>
      <c r="P139" s="179"/>
      <c r="Q139" s="119"/>
    </row>
    <row r="140" spans="13:17" ht="20.100000000000001" customHeight="1">
      <c r="M140" s="119"/>
      <c r="N140" s="119"/>
      <c r="O140" s="165"/>
      <c r="P140" s="179"/>
      <c r="Q140" s="119"/>
    </row>
    <row r="141" spans="13:17" ht="20.100000000000001" customHeight="1">
      <c r="M141" s="119"/>
      <c r="N141" s="119"/>
      <c r="O141" s="165"/>
      <c r="P141" s="179"/>
      <c r="Q141" s="119"/>
    </row>
    <row r="142" spans="13:17" ht="20.100000000000001" customHeight="1">
      <c r="M142" s="119"/>
      <c r="N142" s="119"/>
      <c r="O142" s="165"/>
      <c r="P142" s="179"/>
      <c r="Q142" s="119"/>
    </row>
    <row r="143" spans="13:17" ht="20.100000000000001" customHeight="1">
      <c r="M143" s="119"/>
      <c r="N143" s="119"/>
      <c r="O143" s="165"/>
      <c r="P143" s="179"/>
      <c r="Q143" s="119"/>
    </row>
    <row r="144" spans="13:17" ht="20.100000000000001" customHeight="1">
      <c r="M144" s="119"/>
      <c r="N144" s="119"/>
      <c r="O144" s="165"/>
      <c r="P144" s="179"/>
      <c r="Q144" s="119"/>
    </row>
    <row r="145" spans="13:17" ht="20.100000000000001" customHeight="1">
      <c r="M145" s="119"/>
      <c r="N145" s="119"/>
      <c r="O145" s="165"/>
      <c r="P145" s="179"/>
      <c r="Q145" s="119"/>
    </row>
    <row r="146" spans="13:17" ht="20.100000000000001" customHeight="1">
      <c r="M146" s="119"/>
      <c r="N146" s="119"/>
      <c r="O146" s="165"/>
      <c r="P146" s="179"/>
      <c r="Q146" s="119"/>
    </row>
    <row r="147" spans="13:17" ht="20.100000000000001" customHeight="1">
      <c r="M147" s="119"/>
      <c r="N147" s="119"/>
      <c r="O147" s="165"/>
      <c r="P147" s="179"/>
      <c r="Q147" s="119"/>
    </row>
    <row r="148" spans="13:17" ht="20.100000000000001" customHeight="1">
      <c r="M148" s="119"/>
      <c r="N148" s="119"/>
      <c r="O148" s="165"/>
      <c r="P148" s="179"/>
      <c r="Q148" s="119"/>
    </row>
    <row r="149" spans="13:17" ht="20.100000000000001" customHeight="1">
      <c r="M149" s="119"/>
      <c r="N149" s="119"/>
      <c r="O149" s="165"/>
      <c r="P149" s="179"/>
      <c r="Q149" s="119"/>
    </row>
    <row r="150" spans="13:17" ht="20.100000000000001" customHeight="1">
      <c r="M150" s="119"/>
      <c r="N150" s="119"/>
      <c r="O150" s="165"/>
      <c r="P150" s="179"/>
      <c r="Q150" s="119"/>
    </row>
    <row r="151" spans="13:17" ht="20.100000000000001" customHeight="1">
      <c r="M151" s="119"/>
      <c r="N151" s="119"/>
      <c r="O151" s="165"/>
      <c r="P151" s="179"/>
      <c r="Q151" s="119"/>
    </row>
    <row r="152" spans="13:17" ht="20.100000000000001" customHeight="1">
      <c r="M152" s="119"/>
      <c r="N152" s="119"/>
      <c r="O152" s="165"/>
      <c r="P152" s="179"/>
      <c r="Q152" s="119"/>
    </row>
    <row r="153" spans="13:17" ht="20.100000000000001" customHeight="1">
      <c r="M153" s="119"/>
      <c r="N153" s="119"/>
      <c r="O153" s="165"/>
      <c r="P153" s="179"/>
      <c r="Q153" s="119"/>
    </row>
    <row r="154" spans="13:17" ht="20.100000000000001" customHeight="1">
      <c r="M154" s="119"/>
      <c r="N154" s="119"/>
      <c r="O154" s="165"/>
      <c r="P154" s="179"/>
      <c r="Q154" s="119"/>
    </row>
    <row r="155" spans="13:17" ht="20.100000000000001" customHeight="1">
      <c r="M155" s="119"/>
      <c r="N155" s="119"/>
      <c r="O155" s="165"/>
      <c r="P155" s="179"/>
      <c r="Q155" s="119"/>
    </row>
    <row r="156" spans="13:17" ht="20.100000000000001" customHeight="1">
      <c r="M156" s="119"/>
      <c r="N156" s="119"/>
      <c r="O156" s="165"/>
      <c r="P156" s="179"/>
      <c r="Q156" s="119"/>
    </row>
    <row r="157" spans="13:17" ht="20.100000000000001" customHeight="1">
      <c r="M157" s="119"/>
      <c r="N157" s="119"/>
      <c r="O157" s="165"/>
      <c r="P157" s="179"/>
      <c r="Q157" s="119"/>
    </row>
    <row r="158" spans="13:17" ht="20.100000000000001" customHeight="1">
      <c r="M158" s="119"/>
      <c r="N158" s="119"/>
      <c r="O158" s="165"/>
      <c r="P158" s="179"/>
      <c r="Q158" s="119"/>
    </row>
    <row r="159" spans="13:17" ht="20.100000000000001" customHeight="1">
      <c r="M159" s="119"/>
      <c r="N159" s="119"/>
      <c r="O159" s="165"/>
      <c r="P159" s="179"/>
      <c r="Q159" s="119"/>
    </row>
    <row r="160" spans="13:17" ht="20.100000000000001" customHeight="1">
      <c r="M160" s="119"/>
      <c r="N160" s="119"/>
      <c r="O160" s="165"/>
      <c r="P160" s="179"/>
      <c r="Q160" s="119"/>
    </row>
    <row r="161" spans="13:17" ht="20.100000000000001" customHeight="1">
      <c r="M161" s="119"/>
      <c r="N161" s="119"/>
      <c r="O161" s="165"/>
      <c r="P161" s="179"/>
      <c r="Q161" s="119"/>
    </row>
    <row r="162" spans="13:17" ht="20.100000000000001" customHeight="1">
      <c r="M162" s="119"/>
      <c r="N162" s="119"/>
      <c r="O162" s="165"/>
      <c r="P162" s="179"/>
      <c r="Q162" s="119"/>
    </row>
    <row r="163" spans="13:17" ht="20.100000000000001" customHeight="1">
      <c r="M163" s="119"/>
      <c r="N163" s="119"/>
      <c r="O163" s="165"/>
      <c r="P163" s="179"/>
      <c r="Q163" s="119"/>
    </row>
    <row r="164" spans="13:17" ht="20.100000000000001" customHeight="1">
      <c r="M164" s="119"/>
      <c r="N164" s="119"/>
      <c r="O164" s="165"/>
      <c r="P164" s="179"/>
      <c r="Q164" s="119"/>
    </row>
    <row r="165" spans="13:17" ht="20.100000000000001" customHeight="1">
      <c r="M165" s="119"/>
      <c r="N165" s="119"/>
      <c r="O165" s="165"/>
      <c r="P165" s="179"/>
      <c r="Q165" s="119"/>
    </row>
    <row r="166" spans="13:17" ht="20.100000000000001" customHeight="1">
      <c r="M166" s="119"/>
      <c r="N166" s="119"/>
      <c r="O166" s="165"/>
      <c r="P166" s="179"/>
      <c r="Q166" s="119"/>
    </row>
    <row r="167" spans="13:17" ht="20.100000000000001" customHeight="1">
      <c r="M167" s="119"/>
      <c r="N167" s="119"/>
      <c r="O167" s="165"/>
      <c r="P167" s="179"/>
      <c r="Q167" s="119"/>
    </row>
    <row r="168" spans="13:17" ht="20.100000000000001" customHeight="1">
      <c r="M168" s="119"/>
      <c r="N168" s="119"/>
      <c r="O168" s="165"/>
      <c r="P168" s="179"/>
      <c r="Q168" s="119"/>
    </row>
    <row r="169" spans="13:17" ht="20.100000000000001" customHeight="1">
      <c r="M169" s="119"/>
      <c r="N169" s="119"/>
      <c r="O169" s="165"/>
      <c r="P169" s="179"/>
      <c r="Q169" s="119"/>
    </row>
    <row r="170" spans="13:17" ht="20.100000000000001" customHeight="1">
      <c r="M170" s="119"/>
      <c r="N170" s="119"/>
      <c r="O170" s="165"/>
      <c r="P170" s="179"/>
      <c r="Q170" s="119"/>
    </row>
    <row r="171" spans="13:17" ht="20.100000000000001" customHeight="1">
      <c r="M171" s="119"/>
      <c r="N171" s="119"/>
      <c r="O171" s="165"/>
      <c r="P171" s="179"/>
      <c r="Q171" s="119"/>
    </row>
    <row r="172" spans="13:17" ht="20.100000000000001" customHeight="1">
      <c r="M172" s="119"/>
      <c r="N172" s="119"/>
      <c r="O172" s="165"/>
      <c r="P172" s="179"/>
      <c r="Q172" s="119"/>
    </row>
    <row r="173" spans="13:17" ht="20.100000000000001" customHeight="1">
      <c r="M173" s="119"/>
      <c r="N173" s="119"/>
      <c r="O173" s="165"/>
      <c r="P173" s="179"/>
      <c r="Q173" s="119"/>
    </row>
    <row r="174" spans="13:17" ht="20.100000000000001" customHeight="1">
      <c r="M174" s="119"/>
      <c r="N174" s="119"/>
      <c r="O174" s="165"/>
      <c r="P174" s="179"/>
      <c r="Q174" s="119"/>
    </row>
    <row r="175" spans="13:17" ht="20.100000000000001" customHeight="1">
      <c r="M175" s="119"/>
      <c r="N175" s="119"/>
      <c r="O175" s="165"/>
      <c r="P175" s="179"/>
      <c r="Q175" s="119"/>
    </row>
    <row r="176" spans="13:17" ht="20.100000000000001" customHeight="1">
      <c r="M176" s="119"/>
      <c r="N176" s="119"/>
      <c r="O176" s="165"/>
      <c r="P176" s="179"/>
      <c r="Q176" s="119"/>
    </row>
    <row r="177" spans="13:17" ht="20.100000000000001" customHeight="1">
      <c r="M177" s="119"/>
      <c r="N177" s="119"/>
      <c r="O177" s="165"/>
      <c r="P177" s="179"/>
      <c r="Q177" s="119"/>
    </row>
    <row r="178" spans="13:17" ht="20.100000000000001" customHeight="1">
      <c r="M178" s="119"/>
      <c r="N178" s="119"/>
      <c r="O178" s="165"/>
      <c r="P178" s="179"/>
      <c r="Q178" s="119"/>
    </row>
    <row r="179" spans="13:17" ht="20.100000000000001" customHeight="1">
      <c r="M179" s="119"/>
      <c r="N179" s="119"/>
      <c r="O179" s="165"/>
      <c r="P179" s="179"/>
      <c r="Q179" s="119"/>
    </row>
    <row r="180" spans="13:17" ht="20.100000000000001" customHeight="1">
      <c r="M180" s="119"/>
      <c r="N180" s="119"/>
      <c r="O180" s="165"/>
      <c r="P180" s="179"/>
      <c r="Q180" s="119"/>
    </row>
    <row r="181" spans="13:17" ht="20.100000000000001" customHeight="1">
      <c r="M181" s="119"/>
      <c r="N181" s="119"/>
      <c r="O181" s="165"/>
      <c r="P181" s="179"/>
      <c r="Q181" s="119"/>
    </row>
    <row r="182" spans="13:17" ht="20.100000000000001" customHeight="1">
      <c r="M182" s="119"/>
      <c r="N182" s="119"/>
      <c r="O182" s="165"/>
      <c r="P182" s="179"/>
      <c r="Q182" s="119"/>
    </row>
    <row r="183" spans="13:17" ht="20.100000000000001" customHeight="1">
      <c r="M183" s="119"/>
      <c r="N183" s="119"/>
      <c r="O183" s="165"/>
      <c r="P183" s="179"/>
      <c r="Q183" s="119"/>
    </row>
    <row r="184" spans="13:17" ht="20.100000000000001" customHeight="1">
      <c r="M184" s="119"/>
      <c r="N184" s="119"/>
      <c r="O184" s="165"/>
      <c r="P184" s="179"/>
      <c r="Q184" s="119"/>
    </row>
    <row r="185" spans="13:17" ht="20.100000000000001" customHeight="1">
      <c r="M185" s="119"/>
      <c r="N185" s="119"/>
      <c r="O185" s="165"/>
      <c r="P185" s="179"/>
      <c r="Q185" s="119"/>
    </row>
    <row r="186" spans="13:17" ht="20.100000000000001" customHeight="1">
      <c r="M186" s="119"/>
      <c r="N186" s="119"/>
      <c r="O186" s="165"/>
      <c r="P186" s="179"/>
      <c r="Q186" s="119"/>
    </row>
    <row r="187" spans="13:17" ht="20.100000000000001" customHeight="1">
      <c r="M187" s="119"/>
      <c r="N187" s="119"/>
      <c r="O187" s="165"/>
      <c r="P187" s="179"/>
      <c r="Q187" s="119"/>
    </row>
    <row r="188" spans="13:17" ht="20.100000000000001" customHeight="1">
      <c r="M188" s="119"/>
      <c r="N188" s="119"/>
      <c r="O188" s="165"/>
      <c r="P188" s="179"/>
      <c r="Q188" s="119"/>
    </row>
    <row r="189" spans="13:17" ht="20.100000000000001" customHeight="1">
      <c r="M189" s="119"/>
      <c r="N189" s="119"/>
      <c r="O189" s="165"/>
      <c r="P189" s="179"/>
      <c r="Q189" s="119"/>
    </row>
    <row r="190" spans="13:17" ht="20.100000000000001" customHeight="1">
      <c r="M190" s="119"/>
      <c r="N190" s="119"/>
      <c r="O190" s="165"/>
      <c r="P190" s="179"/>
      <c r="Q190" s="119"/>
    </row>
    <row r="191" spans="13:17" ht="20.100000000000001" customHeight="1">
      <c r="M191" s="119"/>
      <c r="N191" s="119"/>
      <c r="O191" s="165"/>
      <c r="P191" s="179"/>
      <c r="Q191" s="119"/>
    </row>
    <row r="192" spans="13:17" ht="20.100000000000001" customHeight="1">
      <c r="M192" s="119"/>
      <c r="N192" s="119"/>
      <c r="O192" s="165"/>
      <c r="P192" s="179"/>
      <c r="Q192" s="119"/>
    </row>
    <row r="193" spans="13:17" ht="20.100000000000001" customHeight="1">
      <c r="M193" s="119"/>
      <c r="N193" s="119"/>
      <c r="O193" s="165"/>
      <c r="P193" s="178"/>
      <c r="Q193" s="119"/>
    </row>
    <row r="194" spans="13:17" ht="20.100000000000001" customHeight="1">
      <c r="M194" s="119"/>
      <c r="N194" s="119"/>
      <c r="O194" s="165"/>
      <c r="P194" s="179"/>
      <c r="Q194" s="119"/>
    </row>
    <row r="195" spans="13:17" ht="20.100000000000001" customHeight="1">
      <c r="M195" s="119"/>
      <c r="N195" s="119"/>
      <c r="O195" s="165"/>
      <c r="P195" s="179"/>
      <c r="Q195" s="119"/>
    </row>
    <row r="196" spans="13:17" ht="20.100000000000001" customHeight="1">
      <c r="M196" s="119"/>
      <c r="N196" s="119"/>
      <c r="O196" s="165"/>
      <c r="P196" s="179"/>
      <c r="Q196" s="119"/>
    </row>
    <row r="197" spans="13:17" ht="20.100000000000001" customHeight="1">
      <c r="M197" s="119"/>
      <c r="N197" s="119"/>
      <c r="O197" s="165"/>
      <c r="P197" s="179"/>
      <c r="Q197" s="119"/>
    </row>
    <row r="198" spans="13:17" ht="20.100000000000001" customHeight="1">
      <c r="M198" s="119"/>
      <c r="N198" s="119"/>
      <c r="O198" s="165"/>
      <c r="P198" s="179"/>
      <c r="Q198" s="119"/>
    </row>
    <row r="199" spans="13:17" ht="20.100000000000001" customHeight="1">
      <c r="M199" s="119"/>
      <c r="N199" s="119"/>
      <c r="O199" s="165"/>
      <c r="P199" s="179"/>
      <c r="Q199" s="119"/>
    </row>
    <row r="200" spans="13:17" ht="20.100000000000001" customHeight="1">
      <c r="M200" s="119"/>
      <c r="N200" s="119"/>
      <c r="O200" s="165"/>
      <c r="P200" s="179"/>
      <c r="Q200" s="119"/>
    </row>
    <row r="201" spans="13:17" ht="20.100000000000001" customHeight="1">
      <c r="M201" s="119"/>
      <c r="N201" s="119"/>
      <c r="O201" s="165"/>
      <c r="P201" s="179"/>
      <c r="Q201" s="119"/>
    </row>
    <row r="202" spans="13:17" ht="20.100000000000001" customHeight="1">
      <c r="M202" s="119"/>
      <c r="N202" s="119"/>
      <c r="O202" s="165"/>
      <c r="P202" s="179"/>
      <c r="Q202" s="119"/>
    </row>
    <row r="203" spans="13:17" ht="20.100000000000001" customHeight="1">
      <c r="M203" s="119"/>
      <c r="N203" s="119"/>
      <c r="O203" s="165"/>
      <c r="P203" s="179"/>
      <c r="Q203" s="119"/>
    </row>
    <row r="204" spans="13:17" ht="20.100000000000001" customHeight="1">
      <c r="M204" s="119"/>
      <c r="N204" s="119"/>
      <c r="O204" s="165"/>
      <c r="P204" s="179"/>
      <c r="Q204" s="119"/>
    </row>
    <row r="205" spans="13:17" ht="20.100000000000001" customHeight="1">
      <c r="M205" s="119"/>
      <c r="N205" s="119"/>
      <c r="O205" s="165"/>
      <c r="P205" s="179"/>
      <c r="Q205" s="119"/>
    </row>
    <row r="206" spans="13:17" ht="20.100000000000001" customHeight="1">
      <c r="M206" s="119"/>
      <c r="N206" s="119"/>
      <c r="O206" s="165"/>
      <c r="P206" s="179"/>
      <c r="Q206" s="119"/>
    </row>
    <row r="207" spans="13:17" ht="20.100000000000001" customHeight="1">
      <c r="M207" s="119"/>
      <c r="N207" s="119"/>
      <c r="O207" s="165"/>
      <c r="P207" s="179"/>
      <c r="Q207" s="119"/>
    </row>
    <row r="208" spans="13:17" ht="20.100000000000001" customHeight="1">
      <c r="M208" s="119"/>
      <c r="N208" s="119"/>
      <c r="O208" s="165"/>
      <c r="P208" s="179"/>
      <c r="Q208" s="119"/>
    </row>
    <row r="209" spans="13:17" ht="20.100000000000001" customHeight="1">
      <c r="M209" s="119"/>
      <c r="N209" s="119"/>
      <c r="O209" s="165"/>
      <c r="P209" s="179"/>
      <c r="Q209" s="119"/>
    </row>
    <row r="210" spans="13:17" ht="20.100000000000001" customHeight="1">
      <c r="M210" s="119"/>
      <c r="N210" s="119"/>
      <c r="O210" s="165"/>
      <c r="P210" s="179"/>
      <c r="Q210" s="119"/>
    </row>
    <row r="211" spans="13:17" ht="20.100000000000001" customHeight="1">
      <c r="M211" s="119"/>
      <c r="N211" s="119"/>
      <c r="O211" s="165"/>
      <c r="P211" s="179"/>
      <c r="Q211" s="119"/>
    </row>
    <row r="212" spans="13:17" ht="20.100000000000001" customHeight="1">
      <c r="M212" s="119"/>
      <c r="N212" s="119"/>
      <c r="O212" s="165"/>
      <c r="P212" s="179"/>
      <c r="Q212" s="119"/>
    </row>
    <row r="213" spans="13:17" ht="20.100000000000001" customHeight="1">
      <c r="M213" s="119"/>
      <c r="N213" s="119"/>
      <c r="O213" s="165"/>
      <c r="P213" s="179"/>
      <c r="Q213" s="119"/>
    </row>
    <row r="214" spans="13:17" ht="20.100000000000001" customHeight="1">
      <c r="M214" s="119"/>
      <c r="N214" s="119"/>
      <c r="O214" s="165"/>
      <c r="P214" s="179"/>
      <c r="Q214" s="119"/>
    </row>
    <row r="215" spans="13:17" ht="20.100000000000001" customHeight="1">
      <c r="M215" s="119"/>
      <c r="N215" s="119"/>
      <c r="O215" s="165"/>
      <c r="P215" s="179"/>
      <c r="Q215" s="119"/>
    </row>
    <row r="216" spans="13:17" ht="20.100000000000001" customHeight="1">
      <c r="M216" s="119"/>
      <c r="N216" s="119"/>
      <c r="O216" s="165"/>
      <c r="P216" s="179"/>
      <c r="Q216" s="119"/>
    </row>
    <row r="217" spans="13:17" ht="20.100000000000001" customHeight="1">
      <c r="M217" s="119"/>
      <c r="N217" s="119"/>
      <c r="O217" s="165"/>
      <c r="P217" s="179"/>
      <c r="Q217" s="119"/>
    </row>
    <row r="218" spans="13:17" ht="20.100000000000001" customHeight="1">
      <c r="M218" s="119"/>
      <c r="N218" s="119"/>
      <c r="O218" s="165"/>
      <c r="P218" s="179"/>
      <c r="Q218" s="119"/>
    </row>
    <row r="219" spans="13:17" ht="20.100000000000001" customHeight="1">
      <c r="M219" s="119"/>
      <c r="N219" s="119"/>
      <c r="O219" s="165"/>
      <c r="P219" s="179"/>
      <c r="Q219" s="119"/>
    </row>
    <row r="220" spans="13:17" ht="20.100000000000001" customHeight="1">
      <c r="M220" s="119"/>
      <c r="N220" s="119"/>
      <c r="O220" s="165"/>
      <c r="P220" s="179"/>
      <c r="Q220" s="119"/>
    </row>
    <row r="221" spans="13:17" ht="20.100000000000001" customHeight="1">
      <c r="M221" s="119"/>
      <c r="N221" s="119"/>
      <c r="O221" s="165"/>
      <c r="P221" s="179"/>
      <c r="Q221" s="119"/>
    </row>
    <row r="222" spans="13:17" ht="20.100000000000001" customHeight="1">
      <c r="M222" s="119"/>
      <c r="N222" s="119"/>
      <c r="O222" s="165"/>
      <c r="P222" s="179"/>
      <c r="Q222" s="119"/>
    </row>
    <row r="223" spans="13:17" ht="20.100000000000001" customHeight="1">
      <c r="M223" s="119"/>
      <c r="N223" s="119"/>
      <c r="O223" s="165"/>
      <c r="P223" s="179"/>
      <c r="Q223" s="119"/>
    </row>
    <row r="224" spans="13:17" ht="20.100000000000001" customHeight="1">
      <c r="M224" s="119"/>
      <c r="N224" s="119"/>
      <c r="O224" s="165"/>
      <c r="P224" s="179"/>
      <c r="Q224" s="119"/>
    </row>
    <row r="225" spans="13:17" ht="20.100000000000001" customHeight="1">
      <c r="M225" s="119"/>
      <c r="N225" s="119"/>
      <c r="O225" s="165"/>
      <c r="P225" s="179"/>
      <c r="Q225" s="119"/>
    </row>
    <row r="226" spans="13:17" ht="20.100000000000001" customHeight="1">
      <c r="M226" s="119"/>
      <c r="N226" s="119"/>
      <c r="O226" s="165"/>
      <c r="P226" s="179"/>
      <c r="Q226" s="119"/>
    </row>
    <row r="227" spans="13:17" ht="20.100000000000001" customHeight="1">
      <c r="M227" s="119"/>
      <c r="N227" s="119"/>
      <c r="O227" s="165"/>
      <c r="P227" s="179"/>
      <c r="Q227" s="119"/>
    </row>
    <row r="228" spans="13:17" ht="20.100000000000001" customHeight="1">
      <c r="M228" s="119"/>
      <c r="N228" s="119"/>
      <c r="O228" s="165"/>
      <c r="P228" s="179"/>
      <c r="Q228" s="119"/>
    </row>
    <row r="229" spans="13:17" ht="20.100000000000001" customHeight="1">
      <c r="M229" s="119"/>
      <c r="N229" s="119"/>
      <c r="O229" s="165"/>
      <c r="P229" s="179"/>
      <c r="Q229" s="119"/>
    </row>
    <row r="230" spans="13:17" ht="20.100000000000001" customHeight="1">
      <c r="M230" s="119"/>
      <c r="N230" s="119"/>
      <c r="O230" s="165"/>
      <c r="P230" s="179"/>
      <c r="Q230" s="119"/>
    </row>
    <row r="231" spans="13:17" ht="20.100000000000001" customHeight="1">
      <c r="M231" s="119"/>
      <c r="N231" s="119"/>
      <c r="O231" s="165"/>
      <c r="P231" s="179"/>
      <c r="Q231" s="119"/>
    </row>
    <row r="232" spans="13:17" ht="20.100000000000001" customHeight="1">
      <c r="M232" s="119"/>
      <c r="N232" s="119"/>
      <c r="O232" s="165"/>
      <c r="P232" s="179"/>
      <c r="Q232" s="119"/>
    </row>
    <row r="233" spans="13:17" ht="20.100000000000001" customHeight="1">
      <c r="M233" s="119"/>
      <c r="N233" s="119"/>
      <c r="O233" s="165"/>
      <c r="P233" s="179"/>
      <c r="Q233" s="119"/>
    </row>
    <row r="234" spans="13:17" ht="20.100000000000001" customHeight="1">
      <c r="M234" s="119"/>
      <c r="N234" s="119"/>
      <c r="O234" s="165"/>
      <c r="P234" s="179"/>
      <c r="Q234" s="119"/>
    </row>
    <row r="235" spans="13:17" ht="20.100000000000001" customHeight="1">
      <c r="M235" s="119"/>
      <c r="N235" s="119"/>
      <c r="O235" s="165"/>
      <c r="P235" s="179"/>
      <c r="Q235" s="119"/>
    </row>
    <row r="236" spans="13:17" ht="20.100000000000001" customHeight="1">
      <c r="M236" s="119"/>
      <c r="N236" s="119"/>
      <c r="O236" s="165"/>
      <c r="P236" s="179"/>
      <c r="Q236" s="119"/>
    </row>
    <row r="237" spans="13:17" ht="20.100000000000001" customHeight="1">
      <c r="M237" s="119"/>
      <c r="N237" s="119"/>
      <c r="O237" s="165"/>
      <c r="P237" s="179"/>
      <c r="Q237" s="119"/>
    </row>
    <row r="238" spans="13:17" ht="20.100000000000001" customHeight="1">
      <c r="M238" s="119"/>
      <c r="N238" s="119"/>
      <c r="O238" s="165"/>
      <c r="P238" s="179"/>
      <c r="Q238" s="119"/>
    </row>
    <row r="239" spans="13:17" ht="20.100000000000001" customHeight="1">
      <c r="M239" s="119"/>
      <c r="N239" s="119"/>
      <c r="O239" s="165"/>
      <c r="P239" s="179"/>
      <c r="Q239" s="119"/>
    </row>
    <row r="240" spans="13:17" ht="20.100000000000001" customHeight="1">
      <c r="M240" s="119"/>
      <c r="N240" s="119"/>
      <c r="O240" s="165"/>
      <c r="P240" s="179"/>
      <c r="Q240" s="119"/>
    </row>
    <row r="241" spans="13:17" ht="20.100000000000001" customHeight="1">
      <c r="M241" s="119"/>
      <c r="N241" s="119"/>
      <c r="O241" s="165"/>
      <c r="P241" s="179"/>
      <c r="Q241" s="119"/>
    </row>
    <row r="242" spans="13:17" ht="20.100000000000001" customHeight="1">
      <c r="M242" s="119"/>
      <c r="N242" s="119"/>
      <c r="O242" s="165"/>
      <c r="P242" s="179"/>
      <c r="Q242" s="119"/>
    </row>
    <row r="243" spans="13:17" ht="20.100000000000001" customHeight="1">
      <c r="M243" s="119"/>
      <c r="N243" s="119"/>
      <c r="O243" s="165"/>
      <c r="P243" s="179"/>
      <c r="Q243" s="119"/>
    </row>
    <row r="244" spans="13:17" ht="20.100000000000001" customHeight="1">
      <c r="M244" s="119"/>
      <c r="N244" s="119"/>
      <c r="O244" s="165"/>
      <c r="P244" s="179"/>
      <c r="Q244" s="119"/>
    </row>
    <row r="245" spans="13:17" ht="20.100000000000001" customHeight="1">
      <c r="M245" s="119"/>
      <c r="N245" s="119"/>
      <c r="O245" s="165"/>
      <c r="P245" s="179"/>
      <c r="Q245" s="119"/>
    </row>
    <row r="246" spans="13:17" ht="20.100000000000001" customHeight="1">
      <c r="M246" s="119"/>
      <c r="N246" s="119"/>
      <c r="O246" s="165"/>
      <c r="P246" s="179"/>
      <c r="Q246" s="119"/>
    </row>
    <row r="247" spans="13:17" ht="20.100000000000001" customHeight="1">
      <c r="M247" s="119"/>
      <c r="N247" s="119"/>
      <c r="O247" s="165"/>
      <c r="P247" s="179"/>
      <c r="Q247" s="119"/>
    </row>
    <row r="248" spans="13:17" ht="20.100000000000001" customHeight="1">
      <c r="M248" s="119"/>
      <c r="N248" s="119"/>
      <c r="O248" s="165"/>
      <c r="P248" s="179"/>
      <c r="Q248" s="119"/>
    </row>
    <row r="249" spans="13:17" ht="20.100000000000001" customHeight="1">
      <c r="M249" s="119"/>
      <c r="N249" s="119"/>
      <c r="O249" s="165"/>
      <c r="P249" s="179"/>
      <c r="Q249" s="119"/>
    </row>
    <row r="250" spans="13:17" ht="20.100000000000001" customHeight="1">
      <c r="M250" s="119"/>
      <c r="N250" s="119"/>
      <c r="O250" s="165"/>
      <c r="P250" s="179"/>
      <c r="Q250" s="119"/>
    </row>
    <row r="251" spans="13:17" ht="20.100000000000001" customHeight="1">
      <c r="M251" s="119"/>
      <c r="N251" s="119"/>
      <c r="O251" s="165"/>
      <c r="P251" s="179"/>
      <c r="Q251" s="119"/>
    </row>
    <row r="252" spans="13:17" ht="20.100000000000001" customHeight="1">
      <c r="M252" s="119"/>
      <c r="N252" s="119"/>
      <c r="O252" s="165"/>
      <c r="P252" s="179"/>
      <c r="Q252" s="119"/>
    </row>
    <row r="253" spans="13:17" ht="20.100000000000001" customHeight="1">
      <c r="M253" s="119"/>
      <c r="N253" s="119"/>
      <c r="O253" s="165"/>
      <c r="P253" s="179"/>
      <c r="Q253" s="119"/>
    </row>
    <row r="254" spans="13:17" ht="20.100000000000001" customHeight="1">
      <c r="M254" s="119"/>
      <c r="N254" s="119"/>
      <c r="O254" s="165"/>
      <c r="P254" s="179"/>
      <c r="Q254" s="119"/>
    </row>
    <row r="255" spans="13:17" ht="20.100000000000001" customHeight="1">
      <c r="M255" s="119"/>
      <c r="N255" s="119"/>
      <c r="O255" s="165"/>
      <c r="P255" s="179"/>
      <c r="Q255" s="119"/>
    </row>
    <row r="256" spans="13:17" ht="20.100000000000001" customHeight="1">
      <c r="M256" s="119"/>
      <c r="N256" s="119"/>
      <c r="O256" s="165"/>
      <c r="P256" s="179"/>
      <c r="Q256" s="119"/>
    </row>
    <row r="257" spans="13:17" ht="20.100000000000001" customHeight="1">
      <c r="M257" s="119"/>
      <c r="N257" s="119"/>
      <c r="O257" s="165"/>
      <c r="P257" s="179"/>
      <c r="Q257" s="119"/>
    </row>
    <row r="258" spans="13:17" ht="20.100000000000001" customHeight="1">
      <c r="M258" s="119"/>
      <c r="N258" s="119"/>
      <c r="O258" s="165"/>
      <c r="P258" s="179"/>
      <c r="Q258" s="119"/>
    </row>
    <row r="259" spans="13:17" ht="20.100000000000001" customHeight="1">
      <c r="M259" s="119"/>
      <c r="N259" s="119"/>
      <c r="O259" s="165"/>
      <c r="P259" s="179"/>
      <c r="Q259" s="119"/>
    </row>
    <row r="260" spans="13:17" ht="20.100000000000001" customHeight="1">
      <c r="M260" s="119"/>
      <c r="N260" s="119"/>
      <c r="O260" s="165"/>
      <c r="P260" s="179"/>
      <c r="Q260" s="119"/>
    </row>
    <row r="261" spans="13:17" ht="20.100000000000001" customHeight="1">
      <c r="M261" s="119"/>
      <c r="N261" s="119"/>
      <c r="O261" s="165"/>
      <c r="P261" s="179"/>
      <c r="Q261" s="119"/>
    </row>
    <row r="262" spans="13:17" ht="20.100000000000001" customHeight="1">
      <c r="M262" s="119"/>
      <c r="N262" s="119"/>
      <c r="O262" s="165"/>
      <c r="P262" s="179"/>
      <c r="Q262" s="119"/>
    </row>
    <row r="263" spans="13:17" ht="20.100000000000001" customHeight="1">
      <c r="M263" s="119"/>
      <c r="N263" s="119"/>
      <c r="O263" s="165"/>
      <c r="P263" s="179"/>
      <c r="Q263" s="119"/>
    </row>
    <row r="264" spans="13:17" ht="20.100000000000001" customHeight="1">
      <c r="M264" s="119"/>
      <c r="N264" s="119"/>
      <c r="O264" s="165"/>
      <c r="P264" s="179"/>
      <c r="Q264" s="119"/>
    </row>
    <row r="265" spans="13:17" ht="20.100000000000001" customHeight="1">
      <c r="M265" s="119"/>
      <c r="N265" s="119"/>
      <c r="O265" s="165"/>
      <c r="P265" s="179"/>
      <c r="Q265" s="119"/>
    </row>
    <row r="266" spans="13:17" ht="20.100000000000001" customHeight="1">
      <c r="M266" s="119"/>
      <c r="N266" s="119"/>
      <c r="O266" s="165"/>
      <c r="P266" s="179"/>
      <c r="Q266" s="119"/>
    </row>
    <row r="267" spans="13:17" ht="20.100000000000001" customHeight="1">
      <c r="M267" s="119"/>
      <c r="N267" s="119"/>
      <c r="O267" s="165"/>
      <c r="P267" s="179"/>
      <c r="Q267" s="119"/>
    </row>
    <row r="268" spans="13:17" ht="20.100000000000001" customHeight="1">
      <c r="M268" s="119"/>
      <c r="N268" s="119"/>
      <c r="O268" s="165"/>
      <c r="P268" s="179"/>
      <c r="Q268" s="119"/>
    </row>
    <row r="269" spans="13:17" ht="20.100000000000001" customHeight="1">
      <c r="M269" s="119"/>
      <c r="N269" s="119"/>
      <c r="O269" s="165"/>
      <c r="P269" s="179"/>
      <c r="Q269" s="119"/>
    </row>
    <row r="270" spans="13:17" ht="20.100000000000001" customHeight="1">
      <c r="M270" s="119"/>
      <c r="N270" s="119"/>
      <c r="O270" s="165"/>
      <c r="P270" s="179"/>
      <c r="Q270" s="119"/>
    </row>
    <row r="271" spans="13:17" ht="20.100000000000001" customHeight="1">
      <c r="M271" s="119"/>
      <c r="N271" s="119"/>
      <c r="O271" s="165"/>
      <c r="P271" s="179"/>
      <c r="Q271" s="119"/>
    </row>
    <row r="272" spans="13:17" ht="20.100000000000001" customHeight="1">
      <c r="M272" s="119"/>
      <c r="N272" s="119"/>
      <c r="O272" s="165"/>
      <c r="P272" s="179"/>
      <c r="Q272" s="119"/>
    </row>
    <row r="273" spans="13:17" ht="20.100000000000001" customHeight="1">
      <c r="M273" s="119"/>
      <c r="N273" s="119"/>
      <c r="O273" s="165"/>
      <c r="P273" s="179"/>
      <c r="Q273" s="119"/>
    </row>
    <row r="274" spans="13:17" ht="20.100000000000001" customHeight="1">
      <c r="M274" s="119"/>
      <c r="N274" s="119"/>
      <c r="O274" s="165"/>
      <c r="P274" s="179"/>
      <c r="Q274" s="119"/>
    </row>
    <row r="275" spans="13:17" ht="20.100000000000001" customHeight="1">
      <c r="M275" s="119"/>
      <c r="N275" s="119"/>
      <c r="O275" s="165"/>
      <c r="P275" s="179"/>
      <c r="Q275" s="119"/>
    </row>
    <row r="276" spans="13:17" ht="20.100000000000001" customHeight="1">
      <c r="M276" s="119"/>
      <c r="N276" s="119"/>
      <c r="O276" s="165"/>
      <c r="P276" s="179"/>
      <c r="Q276" s="119"/>
    </row>
    <row r="277" spans="13:17" ht="20.100000000000001" customHeight="1">
      <c r="M277" s="119"/>
      <c r="N277" s="119"/>
      <c r="O277" s="165"/>
      <c r="P277" s="179"/>
      <c r="Q277" s="119"/>
    </row>
    <row r="278" spans="13:17" ht="20.100000000000001" customHeight="1">
      <c r="M278" s="119"/>
      <c r="N278" s="119"/>
      <c r="O278" s="165"/>
      <c r="P278" s="179"/>
      <c r="Q278" s="119"/>
    </row>
    <row r="279" spans="13:17" ht="20.100000000000001" customHeight="1">
      <c r="M279" s="119"/>
      <c r="N279" s="119"/>
      <c r="O279" s="165"/>
      <c r="P279" s="179"/>
      <c r="Q279" s="119"/>
    </row>
    <row r="280" spans="13:17" ht="20.100000000000001" customHeight="1">
      <c r="M280" s="119"/>
      <c r="N280" s="119"/>
      <c r="O280" s="165"/>
      <c r="P280" s="179"/>
      <c r="Q280" s="119"/>
    </row>
    <row r="281" spans="13:17" ht="20.100000000000001" customHeight="1">
      <c r="M281" s="119"/>
      <c r="N281" s="119"/>
      <c r="O281" s="165"/>
      <c r="P281" s="179"/>
      <c r="Q281" s="119"/>
    </row>
    <row r="282" spans="13:17" ht="20.100000000000001" customHeight="1">
      <c r="M282" s="119"/>
      <c r="N282" s="119"/>
      <c r="O282" s="165"/>
      <c r="P282" s="179"/>
      <c r="Q282" s="119"/>
    </row>
    <row r="283" spans="13:17" ht="20.100000000000001" customHeight="1">
      <c r="M283" s="119"/>
      <c r="N283" s="119"/>
      <c r="O283" s="165"/>
      <c r="P283" s="179"/>
      <c r="Q283" s="119"/>
    </row>
    <row r="284" spans="13:17" ht="20.100000000000001" customHeight="1">
      <c r="M284" s="119"/>
      <c r="N284" s="119"/>
      <c r="O284" s="165"/>
      <c r="P284" s="179"/>
      <c r="Q284" s="119"/>
    </row>
    <row r="285" spans="13:17" ht="20.100000000000001" customHeight="1">
      <c r="M285" s="119"/>
      <c r="N285" s="119"/>
      <c r="O285" s="165"/>
      <c r="P285" s="179"/>
      <c r="Q285" s="119"/>
    </row>
    <row r="286" spans="13:17" ht="20.100000000000001" customHeight="1">
      <c r="M286" s="119"/>
      <c r="N286" s="119"/>
      <c r="O286" s="165"/>
      <c r="P286" s="179"/>
      <c r="Q286" s="119"/>
    </row>
    <row r="287" spans="13:17" ht="20.100000000000001" customHeight="1">
      <c r="M287" s="119"/>
      <c r="N287" s="119"/>
      <c r="O287" s="165"/>
      <c r="P287" s="179"/>
      <c r="Q287" s="119"/>
    </row>
    <row r="288" spans="13:17" ht="20.100000000000001" customHeight="1">
      <c r="M288" s="119"/>
      <c r="N288" s="119"/>
      <c r="O288" s="165"/>
      <c r="P288" s="179"/>
      <c r="Q288" s="119"/>
    </row>
    <row r="289" spans="13:17" ht="20.100000000000001" customHeight="1">
      <c r="M289" s="119"/>
      <c r="N289" s="119"/>
      <c r="O289" s="165"/>
      <c r="P289" s="179"/>
      <c r="Q289" s="119"/>
    </row>
    <row r="290" spans="13:17" ht="20.100000000000001" customHeight="1">
      <c r="M290" s="119"/>
      <c r="N290" s="119"/>
      <c r="O290" s="165"/>
      <c r="P290" s="179"/>
      <c r="Q290" s="119"/>
    </row>
    <row r="291" spans="13:17" ht="20.100000000000001" customHeight="1">
      <c r="M291" s="119"/>
      <c r="N291" s="119"/>
      <c r="O291" s="165"/>
      <c r="P291" s="179"/>
      <c r="Q291" s="119"/>
    </row>
    <row r="292" spans="13:17" ht="20.100000000000001" customHeight="1">
      <c r="M292" s="119"/>
      <c r="N292" s="119"/>
      <c r="O292" s="165"/>
      <c r="P292" s="179"/>
      <c r="Q292" s="119"/>
    </row>
    <row r="293" spans="13:17" ht="20.100000000000001" customHeight="1">
      <c r="M293" s="119"/>
      <c r="N293" s="119"/>
      <c r="O293" s="165"/>
      <c r="P293" s="179"/>
      <c r="Q293" s="119"/>
    </row>
    <row r="294" spans="13:17" ht="20.100000000000001" customHeight="1">
      <c r="M294" s="119"/>
      <c r="N294" s="119"/>
      <c r="O294" s="165"/>
      <c r="P294" s="179"/>
      <c r="Q294" s="119"/>
    </row>
    <row r="295" spans="13:17" ht="20.100000000000001" customHeight="1">
      <c r="M295" s="119"/>
      <c r="N295" s="119"/>
      <c r="O295" s="165"/>
      <c r="P295" s="179"/>
      <c r="Q295" s="119"/>
    </row>
    <row r="296" spans="13:17" ht="20.100000000000001" customHeight="1">
      <c r="M296" s="119"/>
      <c r="N296" s="119"/>
      <c r="O296" s="165"/>
      <c r="P296" s="179"/>
      <c r="Q296" s="119"/>
    </row>
    <row r="297" spans="13:17" ht="20.100000000000001" customHeight="1">
      <c r="M297" s="119"/>
      <c r="N297" s="119"/>
      <c r="O297" s="165"/>
      <c r="P297" s="179"/>
      <c r="Q297" s="119"/>
    </row>
    <row r="298" spans="13:17" ht="20.100000000000001" customHeight="1">
      <c r="M298" s="119"/>
      <c r="N298" s="119"/>
      <c r="O298" s="165"/>
      <c r="P298" s="179"/>
      <c r="Q298" s="119"/>
    </row>
    <row r="299" spans="13:17" ht="20.100000000000001" customHeight="1">
      <c r="M299" s="119"/>
      <c r="N299" s="119"/>
      <c r="O299" s="165"/>
      <c r="P299" s="179"/>
      <c r="Q299" s="119"/>
    </row>
    <row r="300" spans="13:17" ht="20.100000000000001" customHeight="1">
      <c r="M300" s="119"/>
      <c r="N300" s="119"/>
      <c r="O300" s="165"/>
      <c r="P300" s="179"/>
      <c r="Q300" s="119"/>
    </row>
    <row r="301" spans="13:17" ht="20.100000000000001" customHeight="1">
      <c r="M301" s="119"/>
      <c r="N301" s="119"/>
      <c r="O301" s="165"/>
      <c r="P301" s="179"/>
      <c r="Q301" s="119"/>
    </row>
    <row r="302" spans="13:17" ht="20.100000000000001" customHeight="1">
      <c r="M302" s="119"/>
      <c r="N302" s="119"/>
      <c r="O302" s="165"/>
      <c r="P302" s="179"/>
      <c r="Q302" s="119"/>
    </row>
    <row r="303" spans="13:17" ht="20.100000000000001" customHeight="1">
      <c r="M303" s="119"/>
      <c r="N303" s="119"/>
      <c r="O303" s="165"/>
      <c r="P303" s="179"/>
      <c r="Q303" s="119"/>
    </row>
    <row r="304" spans="13:17" ht="20.100000000000001" customHeight="1">
      <c r="M304" s="119"/>
      <c r="N304" s="119"/>
      <c r="O304" s="165"/>
      <c r="P304" s="179"/>
      <c r="Q304" s="119"/>
    </row>
    <row r="305" spans="13:17" ht="20.100000000000001" customHeight="1">
      <c r="M305" s="119"/>
      <c r="N305" s="119"/>
      <c r="O305" s="165"/>
      <c r="P305" s="179"/>
      <c r="Q305" s="119"/>
    </row>
    <row r="306" spans="13:17" ht="20.100000000000001" customHeight="1">
      <c r="M306" s="119"/>
      <c r="N306" s="119"/>
      <c r="O306" s="165"/>
      <c r="P306" s="179"/>
      <c r="Q306" s="119"/>
    </row>
    <row r="307" spans="13:17" ht="20.100000000000001" customHeight="1">
      <c r="M307" s="119"/>
      <c r="N307" s="119"/>
      <c r="O307" s="165"/>
      <c r="P307" s="179"/>
      <c r="Q307" s="119"/>
    </row>
    <row r="308" spans="13:17" ht="20.100000000000001" customHeight="1">
      <c r="M308" s="119"/>
      <c r="N308" s="119"/>
      <c r="O308" s="165"/>
      <c r="P308" s="179"/>
      <c r="Q308" s="119"/>
    </row>
    <row r="309" spans="13:17" ht="20.100000000000001" customHeight="1">
      <c r="M309" s="119"/>
      <c r="N309" s="119"/>
      <c r="O309" s="165"/>
      <c r="P309" s="179"/>
      <c r="Q309" s="119"/>
    </row>
    <row r="310" spans="13:17" ht="20.100000000000001" customHeight="1">
      <c r="M310" s="119"/>
      <c r="N310" s="119"/>
      <c r="O310" s="165"/>
      <c r="P310" s="179"/>
      <c r="Q310" s="119"/>
    </row>
    <row r="311" spans="13:17" ht="20.100000000000001" customHeight="1">
      <c r="M311" s="119"/>
      <c r="N311" s="119"/>
      <c r="O311" s="165"/>
      <c r="P311" s="179"/>
      <c r="Q311" s="119"/>
    </row>
    <row r="312" spans="13:17" ht="20.100000000000001" customHeight="1">
      <c r="M312" s="119"/>
      <c r="N312" s="119"/>
      <c r="O312" s="165"/>
      <c r="P312" s="179"/>
      <c r="Q312" s="119"/>
    </row>
    <row r="313" spans="13:17" ht="20.100000000000001" customHeight="1">
      <c r="M313" s="119"/>
      <c r="N313" s="119"/>
      <c r="O313" s="165"/>
      <c r="P313" s="179"/>
      <c r="Q313" s="119"/>
    </row>
    <row r="314" spans="13:17" ht="20.100000000000001" customHeight="1">
      <c r="M314" s="119"/>
      <c r="N314" s="119"/>
      <c r="O314" s="165"/>
      <c r="P314" s="179"/>
      <c r="Q314" s="119"/>
    </row>
    <row r="315" spans="13:17" ht="20.100000000000001" customHeight="1">
      <c r="M315" s="119"/>
      <c r="N315" s="119"/>
      <c r="O315" s="165"/>
      <c r="P315" s="179"/>
      <c r="Q315" s="119"/>
    </row>
    <row r="316" spans="13:17" ht="20.100000000000001" customHeight="1">
      <c r="M316" s="119"/>
      <c r="N316" s="119"/>
      <c r="O316" s="165"/>
      <c r="P316" s="179"/>
      <c r="Q316" s="119"/>
    </row>
    <row r="317" spans="13:17" ht="20.100000000000001" customHeight="1">
      <c r="M317" s="119"/>
      <c r="N317" s="119"/>
      <c r="O317" s="165"/>
      <c r="P317" s="179"/>
      <c r="Q317" s="119"/>
    </row>
    <row r="318" spans="13:17" ht="20.100000000000001" customHeight="1">
      <c r="M318" s="119"/>
      <c r="N318" s="119"/>
      <c r="O318" s="165"/>
      <c r="P318" s="176"/>
      <c r="Q318" s="119"/>
    </row>
    <row r="319" spans="13:17" ht="20.100000000000001" customHeight="1">
      <c r="M319" s="119"/>
      <c r="N319" s="119"/>
      <c r="O319" s="165"/>
      <c r="P319" s="180"/>
      <c r="Q319" s="119"/>
    </row>
    <row r="320" spans="13:17" ht="20.100000000000001" customHeight="1">
      <c r="M320" s="119"/>
      <c r="N320" s="119"/>
      <c r="O320" s="165"/>
      <c r="P320" s="180"/>
      <c r="Q320" s="119"/>
    </row>
    <row r="321" spans="13:17" ht="20.100000000000001" customHeight="1">
      <c r="M321" s="119"/>
      <c r="N321" s="119"/>
      <c r="O321" s="165"/>
      <c r="P321" s="180"/>
      <c r="Q321" s="119"/>
    </row>
    <row r="322" spans="13:17" ht="20.100000000000001" customHeight="1">
      <c r="M322" s="119"/>
      <c r="N322" s="119"/>
      <c r="O322" s="165"/>
      <c r="P322" s="180"/>
      <c r="Q322" s="119"/>
    </row>
    <row r="323" spans="13:17" ht="20.100000000000001" customHeight="1">
      <c r="M323" s="119"/>
      <c r="N323" s="119"/>
      <c r="O323" s="165"/>
      <c r="P323" s="180"/>
      <c r="Q323" s="119"/>
    </row>
    <row r="324" spans="13:17" ht="20.100000000000001" customHeight="1">
      <c r="M324" s="119"/>
      <c r="N324" s="119"/>
      <c r="O324" s="165"/>
      <c r="P324" s="180"/>
      <c r="Q324" s="119"/>
    </row>
    <row r="325" spans="13:17" ht="20.100000000000001" customHeight="1">
      <c r="M325" s="119"/>
      <c r="N325" s="119"/>
      <c r="O325" s="165"/>
      <c r="P325" s="180"/>
      <c r="Q325" s="119"/>
    </row>
    <row r="326" spans="13:17" ht="20.100000000000001" customHeight="1">
      <c r="M326" s="119"/>
      <c r="N326" s="119"/>
      <c r="O326" s="165"/>
      <c r="P326" s="180"/>
      <c r="Q326" s="119"/>
    </row>
    <row r="327" spans="13:17" ht="20.100000000000001" customHeight="1">
      <c r="M327" s="119"/>
      <c r="N327" s="119"/>
      <c r="O327" s="165"/>
      <c r="P327" s="180"/>
      <c r="Q327" s="119"/>
    </row>
    <row r="328" spans="13:17" ht="20.100000000000001" customHeight="1">
      <c r="M328" s="119"/>
      <c r="N328" s="119"/>
      <c r="O328" s="165"/>
      <c r="P328" s="180"/>
      <c r="Q328" s="119"/>
    </row>
    <row r="329" spans="13:17" ht="20.100000000000001" customHeight="1">
      <c r="M329" s="119"/>
      <c r="N329" s="119"/>
      <c r="O329" s="165"/>
      <c r="P329" s="180"/>
      <c r="Q329" s="119"/>
    </row>
    <row r="330" spans="13:17" ht="20.100000000000001" customHeight="1">
      <c r="M330" s="119"/>
      <c r="N330" s="119"/>
      <c r="O330" s="165"/>
      <c r="P330" s="180"/>
      <c r="Q330" s="119"/>
    </row>
    <row r="331" spans="13:17" ht="20.100000000000001" customHeight="1">
      <c r="M331" s="119"/>
      <c r="N331" s="119"/>
      <c r="O331" s="165"/>
      <c r="P331" s="180"/>
      <c r="Q331" s="119"/>
    </row>
    <row r="332" spans="13:17" ht="20.100000000000001" customHeight="1">
      <c r="M332" s="119"/>
      <c r="N332" s="119"/>
      <c r="O332" s="165"/>
      <c r="P332" s="180"/>
      <c r="Q332" s="119"/>
    </row>
    <row r="333" spans="13:17" ht="20.100000000000001" customHeight="1">
      <c r="M333" s="119"/>
      <c r="N333" s="119"/>
      <c r="O333" s="165"/>
      <c r="P333" s="180"/>
      <c r="Q333" s="119"/>
    </row>
    <row r="334" spans="13:17" ht="20.100000000000001" customHeight="1">
      <c r="M334" s="119"/>
      <c r="N334" s="119"/>
      <c r="O334" s="165"/>
      <c r="P334" s="180"/>
      <c r="Q334" s="119"/>
    </row>
    <row r="335" spans="13:17" ht="20.100000000000001" customHeight="1">
      <c r="M335" s="119"/>
      <c r="N335" s="119"/>
      <c r="O335" s="165"/>
      <c r="P335" s="180"/>
      <c r="Q335" s="119"/>
    </row>
    <row r="336" spans="13:17" ht="20.100000000000001" customHeight="1">
      <c r="M336" s="119"/>
      <c r="N336" s="119"/>
      <c r="O336" s="165"/>
      <c r="P336" s="180"/>
      <c r="Q336" s="119"/>
    </row>
    <row r="337" spans="13:17" ht="20.100000000000001" customHeight="1">
      <c r="M337" s="119"/>
      <c r="N337" s="119"/>
      <c r="O337" s="165"/>
      <c r="P337" s="180"/>
      <c r="Q337" s="119"/>
    </row>
    <row r="338" spans="13:17" ht="20.100000000000001" customHeight="1">
      <c r="M338" s="119"/>
      <c r="N338" s="119"/>
      <c r="O338" s="165"/>
      <c r="P338" s="180"/>
      <c r="Q338" s="119"/>
    </row>
    <row r="339" spans="13:17" ht="20.100000000000001" customHeight="1">
      <c r="M339" s="119"/>
      <c r="N339" s="119"/>
      <c r="O339" s="165"/>
      <c r="P339" s="180"/>
      <c r="Q339" s="119"/>
    </row>
    <row r="340" spans="13:17" ht="20.100000000000001" customHeight="1">
      <c r="M340" s="119"/>
      <c r="N340" s="119"/>
      <c r="O340" s="165"/>
      <c r="P340" s="180"/>
      <c r="Q340" s="119"/>
    </row>
    <row r="341" spans="13:17" ht="20.100000000000001" customHeight="1">
      <c r="M341" s="119"/>
      <c r="N341" s="119"/>
      <c r="O341" s="165"/>
      <c r="P341" s="180"/>
      <c r="Q341" s="119"/>
    </row>
    <row r="342" spans="13:17" ht="20.100000000000001" customHeight="1">
      <c r="M342" s="119"/>
      <c r="N342" s="119"/>
      <c r="O342" s="165"/>
      <c r="P342" s="180"/>
      <c r="Q342" s="119"/>
    </row>
    <row r="343" spans="13:17" ht="20.100000000000001" customHeight="1">
      <c r="M343" s="119"/>
      <c r="N343" s="119"/>
      <c r="O343" s="165"/>
      <c r="P343" s="180"/>
      <c r="Q343" s="119"/>
    </row>
    <row r="344" spans="13:17" ht="20.100000000000001" customHeight="1">
      <c r="M344" s="119"/>
      <c r="N344" s="119"/>
      <c r="O344" s="165"/>
      <c r="P344" s="180"/>
      <c r="Q344" s="119"/>
    </row>
    <row r="345" spans="13:17" ht="20.100000000000001" customHeight="1">
      <c r="M345" s="119"/>
      <c r="N345" s="119"/>
      <c r="O345" s="165"/>
      <c r="P345" s="180"/>
      <c r="Q345" s="119"/>
    </row>
    <row r="346" spans="13:17" ht="20.100000000000001" customHeight="1">
      <c r="M346" s="119"/>
      <c r="N346" s="119"/>
      <c r="O346" s="165"/>
      <c r="P346" s="180"/>
      <c r="Q346" s="119"/>
    </row>
    <row r="347" spans="13:17" ht="20.100000000000001" customHeight="1">
      <c r="M347" s="119"/>
      <c r="N347" s="119"/>
      <c r="O347" s="165"/>
      <c r="P347" s="180"/>
      <c r="Q347" s="119"/>
    </row>
    <row r="348" spans="13:17" ht="20.100000000000001" customHeight="1">
      <c r="M348" s="119"/>
      <c r="N348" s="119"/>
      <c r="O348" s="165"/>
      <c r="P348" s="180"/>
      <c r="Q348" s="119"/>
    </row>
    <row r="349" spans="13:17" ht="20.100000000000001" customHeight="1">
      <c r="M349" s="119"/>
      <c r="N349" s="119"/>
      <c r="O349" s="165"/>
      <c r="P349" s="180"/>
      <c r="Q349" s="119"/>
    </row>
    <row r="350" spans="13:17" ht="20.100000000000001" customHeight="1">
      <c r="M350" s="119"/>
      <c r="N350" s="119"/>
      <c r="O350" s="165"/>
      <c r="P350" s="180"/>
      <c r="Q350" s="119"/>
    </row>
    <row r="351" spans="13:17" ht="20.100000000000001" customHeight="1">
      <c r="M351" s="119"/>
      <c r="N351" s="119"/>
      <c r="O351" s="165"/>
      <c r="P351" s="180"/>
      <c r="Q351" s="119"/>
    </row>
    <row r="352" spans="13:17" ht="20.100000000000001" customHeight="1">
      <c r="M352" s="119"/>
      <c r="N352" s="119"/>
      <c r="O352" s="165"/>
      <c r="P352" s="180"/>
      <c r="Q352" s="119"/>
    </row>
    <row r="353" spans="13:17" ht="20.100000000000001" customHeight="1">
      <c r="M353" s="119"/>
      <c r="N353" s="119"/>
      <c r="O353" s="165"/>
      <c r="P353" s="180"/>
      <c r="Q353" s="119"/>
    </row>
    <row r="354" spans="13:17" ht="20.100000000000001" customHeight="1">
      <c r="M354" s="119"/>
      <c r="N354" s="119"/>
      <c r="O354" s="165"/>
      <c r="P354" s="180"/>
      <c r="Q354" s="119"/>
    </row>
    <row r="355" spans="13:17" ht="20.100000000000001" customHeight="1">
      <c r="M355" s="119"/>
      <c r="N355" s="119"/>
      <c r="O355" s="165"/>
      <c r="P355" s="180"/>
      <c r="Q355" s="119"/>
    </row>
    <row r="356" spans="13:17" ht="20.100000000000001" customHeight="1">
      <c r="M356" s="119"/>
      <c r="N356" s="119"/>
      <c r="O356" s="165"/>
      <c r="P356" s="180"/>
      <c r="Q356" s="119"/>
    </row>
    <row r="357" spans="13:17" ht="20.100000000000001" customHeight="1">
      <c r="M357" s="119"/>
      <c r="N357" s="119"/>
      <c r="O357" s="165"/>
      <c r="P357" s="180"/>
      <c r="Q357" s="119"/>
    </row>
    <row r="358" spans="13:17" ht="20.100000000000001" customHeight="1">
      <c r="M358" s="119"/>
      <c r="N358" s="119"/>
      <c r="O358" s="165"/>
      <c r="P358" s="180"/>
      <c r="Q358" s="119"/>
    </row>
    <row r="359" spans="13:17" ht="20.100000000000001" customHeight="1">
      <c r="M359" s="119"/>
      <c r="N359" s="119"/>
      <c r="O359" s="165"/>
      <c r="P359" s="180"/>
      <c r="Q359" s="119"/>
    </row>
    <row r="360" spans="13:17" ht="20.100000000000001" customHeight="1">
      <c r="M360" s="119"/>
      <c r="N360" s="119"/>
      <c r="O360" s="165"/>
      <c r="P360" s="180"/>
      <c r="Q360" s="119"/>
    </row>
    <row r="361" spans="13:17" ht="20.100000000000001" customHeight="1">
      <c r="M361" s="119"/>
      <c r="N361" s="119"/>
      <c r="O361" s="165"/>
      <c r="P361" s="180"/>
      <c r="Q361" s="119"/>
    </row>
    <row r="362" spans="13:17" ht="20.100000000000001" customHeight="1">
      <c r="M362" s="119"/>
      <c r="N362" s="119"/>
      <c r="O362" s="165"/>
      <c r="P362" s="180"/>
      <c r="Q362" s="119"/>
    </row>
    <row r="363" spans="13:17" ht="20.100000000000001" customHeight="1">
      <c r="M363" s="119"/>
      <c r="N363" s="119"/>
      <c r="O363" s="165"/>
      <c r="P363" s="180"/>
      <c r="Q363" s="119"/>
    </row>
    <row r="364" spans="13:17" ht="20.100000000000001" customHeight="1">
      <c r="M364" s="119"/>
      <c r="N364" s="119"/>
      <c r="O364" s="165"/>
      <c r="P364" s="180"/>
      <c r="Q364" s="119"/>
    </row>
    <row r="365" spans="13:17" ht="20.100000000000001" customHeight="1">
      <c r="M365" s="119"/>
      <c r="N365" s="119"/>
      <c r="O365" s="165"/>
      <c r="P365" s="180"/>
      <c r="Q365" s="119"/>
    </row>
    <row r="366" spans="13:17" ht="20.100000000000001" customHeight="1">
      <c r="M366" s="119"/>
      <c r="N366" s="119"/>
      <c r="O366" s="165"/>
      <c r="P366" s="180"/>
      <c r="Q366" s="119"/>
    </row>
    <row r="367" spans="13:17" ht="20.100000000000001" customHeight="1">
      <c r="M367" s="119"/>
      <c r="N367" s="119"/>
      <c r="O367" s="165"/>
      <c r="P367" s="180"/>
      <c r="Q367" s="119"/>
    </row>
    <row r="368" spans="13:17" ht="20.100000000000001" customHeight="1">
      <c r="M368" s="119"/>
      <c r="N368" s="119"/>
      <c r="O368" s="165"/>
      <c r="P368" s="180"/>
      <c r="Q368" s="119"/>
    </row>
    <row r="369" spans="13:17" ht="20.100000000000001" customHeight="1">
      <c r="M369" s="119"/>
      <c r="N369" s="119"/>
      <c r="O369" s="165"/>
      <c r="P369" s="180"/>
      <c r="Q369" s="119"/>
    </row>
    <row r="370" spans="13:17" ht="20.100000000000001" customHeight="1">
      <c r="M370" s="119"/>
      <c r="N370" s="119"/>
      <c r="O370" s="165"/>
      <c r="P370" s="180"/>
      <c r="Q370" s="119"/>
    </row>
    <row r="371" spans="13:17" ht="20.100000000000001" customHeight="1">
      <c r="M371" s="119"/>
      <c r="N371" s="119"/>
      <c r="O371" s="165"/>
      <c r="P371" s="180"/>
      <c r="Q371" s="119"/>
    </row>
    <row r="372" spans="13:17" ht="20.100000000000001" customHeight="1">
      <c r="M372" s="119"/>
      <c r="N372" s="119"/>
      <c r="O372" s="165"/>
      <c r="P372" s="180"/>
      <c r="Q372" s="119"/>
    </row>
    <row r="373" spans="13:17" ht="20.100000000000001" customHeight="1">
      <c r="M373" s="119"/>
      <c r="N373" s="119"/>
      <c r="O373" s="165"/>
      <c r="P373" s="180"/>
      <c r="Q373" s="119"/>
    </row>
    <row r="374" spans="13:17" ht="20.100000000000001" customHeight="1">
      <c r="M374" s="119"/>
      <c r="N374" s="119"/>
      <c r="O374" s="165"/>
      <c r="P374" s="180"/>
      <c r="Q374" s="119"/>
    </row>
    <row r="375" spans="13:17" ht="20.100000000000001" customHeight="1">
      <c r="M375" s="119"/>
      <c r="N375" s="119"/>
      <c r="O375" s="165"/>
      <c r="P375" s="180"/>
      <c r="Q375" s="119"/>
    </row>
    <row r="376" spans="13:17" ht="20.100000000000001" customHeight="1">
      <c r="M376" s="119"/>
      <c r="N376" s="119"/>
      <c r="O376" s="165"/>
      <c r="P376" s="180"/>
      <c r="Q376" s="119"/>
    </row>
    <row r="377" spans="13:17" ht="20.100000000000001" customHeight="1">
      <c r="M377" s="119"/>
      <c r="N377" s="119"/>
      <c r="O377" s="165"/>
      <c r="P377" s="180"/>
      <c r="Q377" s="119"/>
    </row>
    <row r="378" spans="13:17" ht="20.100000000000001" customHeight="1">
      <c r="M378" s="119"/>
      <c r="N378" s="119"/>
      <c r="O378" s="165"/>
      <c r="P378" s="180"/>
      <c r="Q378" s="119"/>
    </row>
    <row r="379" spans="13:17" ht="20.100000000000001" customHeight="1">
      <c r="M379" s="119"/>
      <c r="N379" s="119"/>
      <c r="O379" s="165"/>
      <c r="P379" s="180"/>
      <c r="Q379" s="119"/>
    </row>
    <row r="380" spans="13:17" ht="20.100000000000001" customHeight="1">
      <c r="M380" s="119"/>
      <c r="N380" s="119"/>
      <c r="O380" s="165"/>
      <c r="P380" s="180"/>
      <c r="Q380" s="119"/>
    </row>
    <row r="381" spans="13:17" ht="20.100000000000001" customHeight="1">
      <c r="M381" s="119"/>
      <c r="N381" s="119"/>
      <c r="O381" s="165"/>
      <c r="P381" s="180"/>
      <c r="Q381" s="119"/>
    </row>
    <row r="382" spans="13:17" ht="20.100000000000001" customHeight="1">
      <c r="M382" s="119"/>
      <c r="N382" s="119"/>
      <c r="O382" s="165"/>
      <c r="P382" s="180"/>
      <c r="Q382" s="119"/>
    </row>
    <row r="383" spans="13:17" ht="20.100000000000001" customHeight="1">
      <c r="M383" s="119"/>
      <c r="N383" s="119"/>
      <c r="O383" s="165"/>
      <c r="P383" s="180"/>
      <c r="Q383" s="119"/>
    </row>
    <row r="384" spans="13:17" ht="20.100000000000001" customHeight="1">
      <c r="M384" s="119"/>
      <c r="N384" s="119"/>
      <c r="O384" s="165"/>
      <c r="P384" s="180"/>
      <c r="Q384" s="119"/>
    </row>
    <row r="385" spans="13:17" ht="20.100000000000001" customHeight="1">
      <c r="M385" s="119"/>
      <c r="N385" s="119"/>
      <c r="O385" s="165"/>
      <c r="P385" s="180"/>
      <c r="Q385" s="119"/>
    </row>
    <row r="386" spans="13:17" ht="20.100000000000001" customHeight="1">
      <c r="M386" s="119"/>
      <c r="N386" s="119"/>
      <c r="O386" s="165"/>
      <c r="P386" s="180"/>
      <c r="Q386" s="119"/>
    </row>
    <row r="387" spans="13:17" ht="20.100000000000001" customHeight="1">
      <c r="M387" s="119"/>
      <c r="N387" s="119"/>
      <c r="O387" s="165"/>
      <c r="P387" s="180"/>
      <c r="Q387" s="119"/>
    </row>
    <row r="388" spans="13:17" ht="20.100000000000001" customHeight="1">
      <c r="M388" s="119"/>
      <c r="N388" s="119"/>
      <c r="O388" s="165"/>
      <c r="P388" s="180"/>
      <c r="Q388" s="119"/>
    </row>
    <row r="389" spans="13:17" ht="20.100000000000001" customHeight="1">
      <c r="M389" s="119"/>
      <c r="N389" s="119"/>
      <c r="O389" s="165"/>
      <c r="P389" s="180"/>
      <c r="Q389" s="119"/>
    </row>
    <row r="390" spans="13:17" ht="20.100000000000001" customHeight="1">
      <c r="M390" s="119"/>
      <c r="N390" s="119"/>
      <c r="O390" s="165"/>
      <c r="P390" s="180"/>
      <c r="Q390" s="119"/>
    </row>
    <row r="391" spans="13:17" ht="20.100000000000001" customHeight="1">
      <c r="M391" s="119"/>
      <c r="N391" s="119"/>
      <c r="O391" s="165"/>
      <c r="P391" s="180"/>
      <c r="Q391" s="119"/>
    </row>
    <row r="392" spans="13:17" ht="20.100000000000001" customHeight="1">
      <c r="M392" s="119"/>
      <c r="N392" s="119"/>
      <c r="O392" s="165"/>
      <c r="P392" s="180"/>
      <c r="Q392" s="119"/>
    </row>
    <row r="393" spans="13:17" ht="20.100000000000001" customHeight="1">
      <c r="M393" s="119"/>
      <c r="N393" s="119"/>
      <c r="O393" s="165"/>
      <c r="P393" s="180"/>
      <c r="Q393" s="119"/>
    </row>
    <row r="394" spans="13:17" ht="20.100000000000001" customHeight="1">
      <c r="M394" s="119"/>
      <c r="N394" s="119"/>
      <c r="O394" s="165"/>
      <c r="P394" s="180"/>
      <c r="Q394" s="119"/>
    </row>
    <row r="395" spans="13:17" ht="20.100000000000001" customHeight="1">
      <c r="M395" s="119"/>
      <c r="N395" s="119"/>
      <c r="O395" s="165"/>
      <c r="P395" s="180"/>
      <c r="Q395" s="119"/>
    </row>
    <row r="396" spans="13:17" ht="20.100000000000001" customHeight="1">
      <c r="M396" s="119"/>
      <c r="N396" s="119"/>
      <c r="O396" s="165"/>
      <c r="P396" s="180"/>
      <c r="Q396" s="119"/>
    </row>
    <row r="397" spans="13:17" ht="20.100000000000001" customHeight="1">
      <c r="M397" s="119"/>
      <c r="N397" s="119"/>
      <c r="O397" s="165"/>
      <c r="P397" s="180"/>
      <c r="Q397" s="119"/>
    </row>
    <row r="398" spans="13:17" ht="20.100000000000001" customHeight="1">
      <c r="M398" s="119"/>
      <c r="N398" s="119"/>
      <c r="O398" s="165"/>
      <c r="P398" s="180"/>
      <c r="Q398" s="119"/>
    </row>
    <row r="399" spans="13:17" ht="20.100000000000001" customHeight="1">
      <c r="M399" s="119"/>
      <c r="N399" s="119"/>
      <c r="O399" s="165"/>
      <c r="P399" s="180"/>
      <c r="Q399" s="119"/>
    </row>
    <row r="400" spans="13:17" ht="20.100000000000001" customHeight="1">
      <c r="M400" s="119"/>
      <c r="N400" s="119"/>
      <c r="O400" s="165"/>
      <c r="P400" s="180"/>
      <c r="Q400" s="119"/>
    </row>
    <row r="401" spans="13:17" ht="20.100000000000001" customHeight="1">
      <c r="M401" s="119"/>
      <c r="N401" s="119"/>
      <c r="O401" s="165"/>
      <c r="P401" s="180"/>
      <c r="Q401" s="119"/>
    </row>
    <row r="402" spans="13:17" ht="20.100000000000001" customHeight="1">
      <c r="M402" s="119"/>
      <c r="N402" s="119"/>
      <c r="O402" s="165"/>
      <c r="P402" s="180"/>
      <c r="Q402" s="119"/>
    </row>
    <row r="403" spans="13:17" ht="20.100000000000001" customHeight="1">
      <c r="M403" s="119"/>
      <c r="N403" s="119"/>
      <c r="O403" s="165"/>
      <c r="P403" s="180"/>
      <c r="Q403" s="119"/>
    </row>
    <row r="404" spans="13:17" ht="20.100000000000001" customHeight="1">
      <c r="M404" s="119"/>
      <c r="N404" s="119"/>
      <c r="O404" s="165"/>
      <c r="P404" s="180"/>
      <c r="Q404" s="119"/>
    </row>
    <row r="405" spans="13:17" ht="20.100000000000001" customHeight="1">
      <c r="M405" s="119"/>
      <c r="N405" s="119"/>
      <c r="O405" s="165"/>
      <c r="P405" s="180"/>
      <c r="Q405" s="119"/>
    </row>
    <row r="406" spans="13:17" ht="20.100000000000001" customHeight="1">
      <c r="M406" s="119"/>
      <c r="N406" s="119"/>
      <c r="O406" s="165"/>
      <c r="P406" s="180"/>
      <c r="Q406" s="119"/>
    </row>
    <row r="407" spans="13:17" ht="20.100000000000001" customHeight="1">
      <c r="M407" s="119"/>
      <c r="N407" s="119"/>
      <c r="O407" s="165"/>
      <c r="P407" s="180"/>
      <c r="Q407" s="119"/>
    </row>
    <row r="408" spans="13:17" ht="20.100000000000001" customHeight="1">
      <c r="M408" s="119"/>
      <c r="N408" s="119"/>
      <c r="O408" s="165"/>
      <c r="P408" s="180"/>
      <c r="Q408" s="119"/>
    </row>
    <row r="409" spans="13:17" ht="20.100000000000001" customHeight="1">
      <c r="M409" s="119"/>
      <c r="N409" s="119"/>
      <c r="O409" s="165"/>
      <c r="P409" s="180"/>
      <c r="Q409" s="119"/>
    </row>
    <row r="410" spans="13:17" ht="20.100000000000001" customHeight="1">
      <c r="M410" s="119"/>
      <c r="N410" s="119"/>
      <c r="O410" s="165"/>
      <c r="P410" s="180"/>
      <c r="Q410" s="119"/>
    </row>
    <row r="411" spans="13:17" ht="20.100000000000001" customHeight="1">
      <c r="M411" s="119"/>
      <c r="N411" s="119"/>
      <c r="O411" s="165"/>
      <c r="P411" s="180"/>
      <c r="Q411" s="119"/>
    </row>
    <row r="412" spans="13:17" ht="20.100000000000001" customHeight="1">
      <c r="M412" s="119"/>
      <c r="N412" s="119"/>
      <c r="O412" s="165"/>
      <c r="P412" s="180"/>
      <c r="Q412" s="119"/>
    </row>
    <row r="413" spans="13:17" ht="20.100000000000001" customHeight="1">
      <c r="M413" s="119"/>
      <c r="N413" s="119"/>
      <c r="O413" s="165"/>
      <c r="P413" s="180"/>
      <c r="Q413" s="119"/>
    </row>
    <row r="414" spans="13:17" ht="20.100000000000001" customHeight="1">
      <c r="M414" s="119"/>
      <c r="N414" s="119"/>
      <c r="O414" s="165"/>
      <c r="P414" s="180"/>
      <c r="Q414" s="119"/>
    </row>
    <row r="415" spans="13:17" ht="20.100000000000001" customHeight="1">
      <c r="M415" s="119"/>
      <c r="N415" s="119"/>
      <c r="O415" s="165"/>
      <c r="P415" s="180"/>
      <c r="Q415" s="119"/>
    </row>
    <row r="416" spans="13:17" ht="20.100000000000001" customHeight="1">
      <c r="M416" s="119"/>
      <c r="N416" s="119"/>
      <c r="O416" s="165"/>
      <c r="P416" s="180"/>
      <c r="Q416" s="119"/>
    </row>
    <row r="417" spans="13:17" ht="20.100000000000001" customHeight="1">
      <c r="M417" s="119"/>
      <c r="N417" s="119"/>
      <c r="O417" s="165"/>
      <c r="P417" s="180"/>
      <c r="Q417" s="119"/>
    </row>
    <row r="418" spans="13:17" ht="20.100000000000001" customHeight="1">
      <c r="M418" s="119"/>
      <c r="N418" s="119"/>
      <c r="O418" s="165"/>
      <c r="P418" s="180"/>
      <c r="Q418" s="119"/>
    </row>
    <row r="419" spans="13:17" ht="20.100000000000001" customHeight="1">
      <c r="M419" s="119"/>
      <c r="N419" s="119"/>
      <c r="O419" s="165"/>
      <c r="P419" s="180"/>
      <c r="Q419" s="119"/>
    </row>
    <row r="420" spans="13:17" ht="20.100000000000001" customHeight="1">
      <c r="M420" s="119"/>
      <c r="N420" s="119"/>
      <c r="O420" s="165"/>
      <c r="P420" s="180"/>
      <c r="Q420" s="119"/>
    </row>
    <row r="421" spans="13:17" ht="20.100000000000001" customHeight="1">
      <c r="M421" s="119"/>
      <c r="N421" s="119"/>
      <c r="O421" s="165"/>
      <c r="P421" s="180"/>
      <c r="Q421" s="119"/>
    </row>
    <row r="422" spans="13:17" ht="20.100000000000001" customHeight="1">
      <c r="M422" s="119"/>
      <c r="N422" s="119"/>
      <c r="O422" s="165"/>
      <c r="P422" s="180"/>
      <c r="Q422" s="119"/>
    </row>
    <row r="423" spans="13:17" ht="20.100000000000001" customHeight="1">
      <c r="M423" s="119"/>
      <c r="N423" s="119"/>
      <c r="O423" s="165"/>
      <c r="P423" s="180"/>
      <c r="Q423" s="119"/>
    </row>
    <row r="424" spans="13:17" ht="20.100000000000001" customHeight="1">
      <c r="M424" s="119"/>
      <c r="N424" s="119"/>
      <c r="O424" s="165"/>
      <c r="P424" s="180"/>
      <c r="Q424" s="119"/>
    </row>
    <row r="425" spans="13:17" ht="20.100000000000001" customHeight="1">
      <c r="M425" s="119"/>
      <c r="N425" s="119"/>
      <c r="O425" s="165"/>
      <c r="Q425" s="119"/>
    </row>
    <row r="426" spans="13:17" ht="20.100000000000001" customHeight="1">
      <c r="M426" s="119"/>
      <c r="N426" s="119"/>
      <c r="O426" s="165"/>
      <c r="Q426" s="119"/>
    </row>
    <row r="427" spans="13:17" ht="20.100000000000001" customHeight="1">
      <c r="M427" s="119"/>
      <c r="N427" s="119"/>
      <c r="O427" s="165"/>
      <c r="Q427" s="119"/>
    </row>
    <row r="428" spans="13:17" ht="20.100000000000001" customHeight="1">
      <c r="M428" s="119"/>
      <c r="N428" s="119"/>
      <c r="O428" s="165"/>
      <c r="Q428" s="119"/>
    </row>
    <row r="429" spans="13:17" ht="20.100000000000001" customHeight="1">
      <c r="M429" s="119"/>
      <c r="N429" s="119"/>
      <c r="O429" s="165"/>
      <c r="Q429" s="119"/>
    </row>
    <row r="430" spans="13:17" ht="20.100000000000001" customHeight="1">
      <c r="M430" s="119"/>
      <c r="N430" s="119"/>
      <c r="O430" s="165"/>
      <c r="Q430" s="119"/>
    </row>
    <row r="431" spans="13:17" ht="20.100000000000001" customHeight="1">
      <c r="M431" s="119"/>
      <c r="N431" s="119"/>
      <c r="O431" s="165"/>
      <c r="Q431" s="119"/>
    </row>
    <row r="432" spans="13:17" ht="20.100000000000001" customHeight="1">
      <c r="M432" s="119"/>
      <c r="N432" s="119"/>
      <c r="O432" s="165"/>
      <c r="Q432" s="119"/>
    </row>
    <row r="433" spans="13:17" ht="20.100000000000001" customHeight="1">
      <c r="M433" s="119"/>
      <c r="N433" s="119"/>
      <c r="O433" s="165"/>
      <c r="Q433" s="119"/>
    </row>
    <row r="434" spans="13:17" ht="20.100000000000001" customHeight="1">
      <c r="M434" s="119"/>
      <c r="N434" s="119"/>
      <c r="O434" s="165"/>
      <c r="Q434" s="119"/>
    </row>
    <row r="435" spans="13:17" ht="20.100000000000001" customHeight="1">
      <c r="M435" s="119"/>
      <c r="N435" s="119"/>
      <c r="O435" s="165"/>
      <c r="Q435" s="119"/>
    </row>
    <row r="436" spans="13:17" ht="20.100000000000001" customHeight="1">
      <c r="M436" s="119"/>
      <c r="N436" s="119"/>
      <c r="O436" s="165"/>
      <c r="Q436" s="119"/>
    </row>
    <row r="437" spans="13:17" ht="20.100000000000001" customHeight="1">
      <c r="M437" s="119"/>
      <c r="N437" s="119"/>
      <c r="O437" s="165"/>
      <c r="Q437" s="119"/>
    </row>
    <row r="438" spans="13:17" ht="20.100000000000001" customHeight="1">
      <c r="M438" s="119"/>
      <c r="N438" s="119"/>
      <c r="O438" s="165"/>
      <c r="Q438" s="119"/>
    </row>
    <row r="439" spans="13:17" ht="20.100000000000001" customHeight="1">
      <c r="M439" s="119"/>
      <c r="N439" s="119"/>
      <c r="O439" s="165"/>
      <c r="Q439" s="119"/>
    </row>
    <row r="440" spans="13:17" ht="20.100000000000001" customHeight="1">
      <c r="M440" s="119"/>
      <c r="N440" s="119"/>
      <c r="O440" s="165"/>
      <c r="Q440" s="119"/>
    </row>
    <row r="441" spans="13:17" ht="20.100000000000001" customHeight="1">
      <c r="M441" s="119"/>
      <c r="N441" s="119"/>
      <c r="O441" s="165"/>
      <c r="Q441" s="119"/>
    </row>
    <row r="442" spans="13:17" ht="20.100000000000001" customHeight="1">
      <c r="M442" s="119"/>
      <c r="N442" s="119"/>
      <c r="O442" s="165"/>
      <c r="Q442" s="119"/>
    </row>
    <row r="443" spans="13:17" ht="20.100000000000001" customHeight="1">
      <c r="M443" s="119"/>
      <c r="N443" s="119"/>
      <c r="O443" s="165"/>
      <c r="Q443" s="119"/>
    </row>
    <row r="444" spans="13:17" ht="20.100000000000001" customHeight="1">
      <c r="M444" s="119"/>
      <c r="N444" s="119"/>
      <c r="O444" s="165"/>
      <c r="Q444" s="119"/>
    </row>
    <row r="445" spans="13:17" ht="20.100000000000001" customHeight="1">
      <c r="M445" s="119"/>
      <c r="N445" s="119"/>
      <c r="O445" s="165"/>
      <c r="Q445" s="119"/>
    </row>
    <row r="446" spans="13:17" ht="20.100000000000001" customHeight="1">
      <c r="M446" s="119"/>
      <c r="N446" s="119"/>
      <c r="O446" s="165"/>
      <c r="Q446" s="119"/>
    </row>
    <row r="447" spans="13:17" ht="20.100000000000001" customHeight="1">
      <c r="M447" s="119"/>
      <c r="N447" s="119"/>
      <c r="O447" s="165"/>
      <c r="Q447" s="119"/>
    </row>
    <row r="448" spans="13:17" ht="20.100000000000001" customHeight="1">
      <c r="M448" s="119"/>
      <c r="N448" s="119"/>
      <c r="O448" s="165"/>
      <c r="Q448" s="119"/>
    </row>
    <row r="449" spans="13:17" ht="20.100000000000001" customHeight="1">
      <c r="M449" s="119"/>
      <c r="N449" s="119"/>
      <c r="O449" s="165"/>
      <c r="Q449" s="119"/>
    </row>
    <row r="450" spans="13:17" ht="20.100000000000001" customHeight="1">
      <c r="M450" s="119"/>
      <c r="N450" s="119"/>
      <c r="O450" s="165"/>
      <c r="Q450" s="119"/>
    </row>
    <row r="451" spans="13:17" ht="20.100000000000001" customHeight="1">
      <c r="M451" s="119"/>
      <c r="N451" s="119"/>
      <c r="O451" s="165"/>
      <c r="Q451" s="119"/>
    </row>
    <row r="452" spans="13:17" ht="20.100000000000001" customHeight="1">
      <c r="M452" s="119"/>
      <c r="N452" s="119"/>
      <c r="O452" s="165"/>
      <c r="Q452" s="119"/>
    </row>
    <row r="453" spans="13:17" ht="20.100000000000001" customHeight="1">
      <c r="M453" s="119"/>
      <c r="N453" s="119"/>
      <c r="O453" s="165"/>
      <c r="Q453" s="119"/>
    </row>
    <row r="454" spans="13:17" ht="20.100000000000001" customHeight="1">
      <c r="M454" s="119"/>
      <c r="N454" s="119"/>
      <c r="O454" s="165"/>
      <c r="Q454" s="119"/>
    </row>
    <row r="455" spans="13:17" ht="20.100000000000001" customHeight="1">
      <c r="M455" s="119"/>
      <c r="N455" s="119"/>
      <c r="O455" s="165"/>
      <c r="Q455" s="119"/>
    </row>
    <row r="456" spans="13:17" ht="20.100000000000001" customHeight="1">
      <c r="M456" s="119"/>
      <c r="N456" s="119"/>
      <c r="O456" s="165"/>
      <c r="Q456" s="119"/>
    </row>
    <row r="457" spans="13:17" ht="20.100000000000001" customHeight="1">
      <c r="M457" s="119"/>
      <c r="N457" s="119"/>
      <c r="O457" s="165"/>
      <c r="Q457" s="119"/>
    </row>
    <row r="458" spans="13:17" ht="20.100000000000001" customHeight="1">
      <c r="M458" s="119"/>
      <c r="N458" s="119"/>
      <c r="O458" s="165"/>
      <c r="Q458" s="119"/>
    </row>
    <row r="459" spans="13:17" ht="20.100000000000001" customHeight="1">
      <c r="M459" s="119"/>
      <c r="N459" s="119"/>
      <c r="O459" s="165"/>
      <c r="Q459" s="119"/>
    </row>
    <row r="460" spans="13:17" ht="20.100000000000001" customHeight="1">
      <c r="M460" s="119"/>
      <c r="N460" s="119"/>
      <c r="O460" s="165"/>
      <c r="Q460" s="119"/>
    </row>
    <row r="461" spans="13:17" ht="20.100000000000001" customHeight="1">
      <c r="M461" s="119"/>
      <c r="N461" s="119"/>
      <c r="O461" s="165"/>
      <c r="Q461" s="119"/>
    </row>
    <row r="462" spans="13:17" ht="20.100000000000001" customHeight="1">
      <c r="M462" s="119"/>
      <c r="N462" s="119"/>
      <c r="O462" s="165"/>
      <c r="Q462" s="119"/>
    </row>
    <row r="463" spans="13:17" ht="20.100000000000001" customHeight="1">
      <c r="M463" s="119"/>
      <c r="N463" s="119"/>
      <c r="O463" s="165"/>
      <c r="Q463" s="119"/>
    </row>
    <row r="464" spans="13:17" ht="20.100000000000001" customHeight="1">
      <c r="M464" s="119"/>
      <c r="N464" s="119"/>
      <c r="O464" s="165"/>
      <c r="Q464" s="119"/>
    </row>
    <row r="465" spans="13:17" ht="20.100000000000001" customHeight="1">
      <c r="M465" s="119"/>
      <c r="N465" s="119"/>
      <c r="O465" s="165"/>
      <c r="Q465" s="119"/>
    </row>
    <row r="466" spans="13:17" ht="20.100000000000001" customHeight="1">
      <c r="M466" s="119"/>
      <c r="N466" s="119"/>
      <c r="O466" s="165"/>
      <c r="Q466" s="119"/>
    </row>
    <row r="467" spans="13:17" ht="20.100000000000001" customHeight="1">
      <c r="M467" s="119"/>
      <c r="N467" s="119"/>
      <c r="O467" s="165"/>
      <c r="Q467" s="119"/>
    </row>
    <row r="468" spans="13:17" ht="20.100000000000001" customHeight="1">
      <c r="M468" s="119"/>
      <c r="N468" s="119"/>
      <c r="O468" s="165"/>
      <c r="Q468" s="119"/>
    </row>
    <row r="469" spans="13:17" ht="20.100000000000001" customHeight="1">
      <c r="M469" s="119"/>
      <c r="N469" s="119"/>
      <c r="O469" s="165"/>
      <c r="Q469" s="119"/>
    </row>
    <row r="470" spans="13:17" ht="20.100000000000001" customHeight="1">
      <c r="M470" s="119"/>
      <c r="N470" s="119"/>
      <c r="O470" s="165"/>
      <c r="Q470" s="119"/>
    </row>
    <row r="471" spans="13:17" ht="20.100000000000001" customHeight="1">
      <c r="M471" s="119"/>
      <c r="N471" s="119"/>
      <c r="O471" s="165"/>
      <c r="Q471" s="119"/>
    </row>
    <row r="472" spans="13:17" ht="20.100000000000001" customHeight="1">
      <c r="M472" s="119"/>
      <c r="N472" s="119"/>
      <c r="O472" s="165"/>
      <c r="Q472" s="119"/>
    </row>
    <row r="473" spans="13:17" ht="20.100000000000001" customHeight="1">
      <c r="M473" s="119"/>
      <c r="N473" s="119"/>
      <c r="O473" s="165"/>
      <c r="Q473" s="119"/>
    </row>
    <row r="474" spans="13:17" ht="20.100000000000001" customHeight="1">
      <c r="M474" s="119"/>
      <c r="N474" s="119"/>
      <c r="O474" s="165"/>
      <c r="Q474" s="119"/>
    </row>
    <row r="475" spans="13:17" ht="20.100000000000001" customHeight="1">
      <c r="M475" s="119"/>
      <c r="N475" s="119"/>
      <c r="O475" s="165"/>
      <c r="Q475" s="119"/>
    </row>
    <row r="476" spans="13:17" ht="20.100000000000001" customHeight="1">
      <c r="M476" s="119"/>
      <c r="N476" s="119"/>
      <c r="O476" s="165"/>
      <c r="Q476" s="119"/>
    </row>
    <row r="477" spans="13:17" ht="20.100000000000001" customHeight="1">
      <c r="M477" s="119"/>
      <c r="N477" s="119"/>
      <c r="O477" s="165"/>
      <c r="Q477" s="119"/>
    </row>
    <row r="478" spans="13:17" ht="20.100000000000001" customHeight="1">
      <c r="M478" s="119"/>
      <c r="N478" s="119"/>
      <c r="O478" s="165"/>
      <c r="Q478" s="119"/>
    </row>
    <row r="479" spans="13:17" ht="20.100000000000001" customHeight="1">
      <c r="M479" s="119"/>
      <c r="N479" s="119"/>
      <c r="O479" s="165"/>
      <c r="Q479" s="119"/>
    </row>
    <row r="480" spans="13:17" ht="20.100000000000001" customHeight="1">
      <c r="M480" s="119"/>
      <c r="N480" s="119"/>
      <c r="O480" s="165"/>
      <c r="Q480" s="119"/>
    </row>
    <row r="481" spans="13:17" ht="20.100000000000001" customHeight="1">
      <c r="M481" s="119"/>
      <c r="N481" s="119"/>
      <c r="O481" s="165"/>
      <c r="Q481" s="119"/>
    </row>
    <row r="482" spans="13:17" ht="20.100000000000001" customHeight="1">
      <c r="M482" s="119"/>
      <c r="N482" s="119"/>
      <c r="O482" s="165"/>
      <c r="Q482" s="119"/>
    </row>
    <row r="483" spans="13:17" ht="20.100000000000001" customHeight="1">
      <c r="M483" s="119"/>
      <c r="N483" s="119"/>
      <c r="O483" s="165"/>
      <c r="Q483" s="119"/>
    </row>
    <row r="484" spans="13:17" ht="20.100000000000001" customHeight="1">
      <c r="M484" s="119"/>
      <c r="N484" s="119"/>
      <c r="O484" s="165"/>
      <c r="Q484" s="119"/>
    </row>
    <row r="485" spans="13:17" ht="20.100000000000001" customHeight="1">
      <c r="M485" s="119"/>
      <c r="N485" s="119"/>
      <c r="O485" s="165"/>
      <c r="Q485" s="119"/>
    </row>
    <row r="486" spans="13:17" ht="20.100000000000001" customHeight="1">
      <c r="M486" s="119"/>
      <c r="N486" s="119"/>
      <c r="O486" s="165"/>
      <c r="Q486" s="119"/>
    </row>
    <row r="487" spans="13:17" ht="20.100000000000001" customHeight="1">
      <c r="M487" s="119"/>
      <c r="N487" s="119"/>
      <c r="O487" s="165"/>
      <c r="Q487" s="119"/>
    </row>
    <row r="488" spans="13:17" ht="20.100000000000001" customHeight="1">
      <c r="M488" s="119"/>
      <c r="N488" s="119"/>
      <c r="O488" s="165"/>
      <c r="Q488" s="119"/>
    </row>
    <row r="489" spans="13:17" ht="20.100000000000001" customHeight="1">
      <c r="M489" s="119"/>
      <c r="N489" s="119"/>
      <c r="O489" s="165"/>
      <c r="Q489" s="119"/>
    </row>
    <row r="490" spans="13:17" ht="20.100000000000001" customHeight="1">
      <c r="M490" s="119"/>
      <c r="N490" s="119"/>
      <c r="O490" s="165"/>
      <c r="Q490" s="119"/>
    </row>
    <row r="491" spans="13:17" ht="20.100000000000001" customHeight="1">
      <c r="M491" s="119"/>
      <c r="N491" s="119"/>
      <c r="O491" s="165"/>
      <c r="Q491" s="119"/>
    </row>
    <row r="492" spans="13:17" ht="20.100000000000001" customHeight="1">
      <c r="M492" s="119"/>
      <c r="N492" s="119"/>
      <c r="O492" s="165"/>
      <c r="Q492" s="119"/>
    </row>
    <row r="493" spans="13:17" ht="20.100000000000001" customHeight="1">
      <c r="M493" s="119"/>
      <c r="N493" s="119"/>
      <c r="O493" s="165"/>
      <c r="Q493" s="119"/>
    </row>
    <row r="494" spans="13:17" ht="20.100000000000001" customHeight="1">
      <c r="M494" s="119"/>
      <c r="N494" s="119"/>
      <c r="O494" s="165"/>
      <c r="Q494" s="119"/>
    </row>
    <row r="495" spans="13:17" ht="20.100000000000001" customHeight="1">
      <c r="M495" s="119"/>
      <c r="N495" s="119"/>
      <c r="O495" s="165"/>
      <c r="Q495" s="119"/>
    </row>
    <row r="496" spans="13:17" ht="20.100000000000001" customHeight="1">
      <c r="M496" s="119"/>
      <c r="N496" s="119"/>
      <c r="O496" s="165"/>
      <c r="Q496" s="119"/>
    </row>
    <row r="497" spans="13:17" ht="20.100000000000001" customHeight="1">
      <c r="M497" s="119"/>
      <c r="N497" s="119"/>
      <c r="O497" s="165"/>
      <c r="Q497" s="119"/>
    </row>
    <row r="498" spans="13:17" ht="20.100000000000001" customHeight="1">
      <c r="M498" s="119"/>
      <c r="N498" s="119"/>
      <c r="O498" s="165"/>
      <c r="Q498" s="119"/>
    </row>
    <row r="499" spans="13:17" ht="20.100000000000001" customHeight="1">
      <c r="M499" s="119"/>
      <c r="N499" s="119"/>
      <c r="O499" s="165"/>
      <c r="Q499" s="119"/>
    </row>
    <row r="500" spans="13:17" ht="20.100000000000001" customHeight="1">
      <c r="M500" s="119"/>
      <c r="N500" s="119"/>
      <c r="O500" s="165"/>
      <c r="Q500" s="119"/>
    </row>
    <row r="501" spans="13:17" ht="20.100000000000001" customHeight="1">
      <c r="M501" s="119"/>
      <c r="N501" s="119"/>
      <c r="O501" s="165"/>
      <c r="Q501" s="119"/>
    </row>
    <row r="502" spans="13:17" ht="20.100000000000001" customHeight="1">
      <c r="M502" s="119"/>
      <c r="N502" s="119"/>
      <c r="O502" s="165"/>
      <c r="Q502" s="119"/>
    </row>
    <row r="503" spans="13:17" ht="20.100000000000001" customHeight="1">
      <c r="M503" s="119"/>
      <c r="N503" s="119"/>
      <c r="O503" s="165"/>
      <c r="Q503" s="119"/>
    </row>
    <row r="504" spans="13:17" ht="20.100000000000001" customHeight="1">
      <c r="M504" s="119"/>
      <c r="N504" s="119"/>
      <c r="O504" s="165"/>
      <c r="Q504" s="119"/>
    </row>
    <row r="505" spans="13:17" ht="20.100000000000001" customHeight="1">
      <c r="M505" s="119"/>
      <c r="N505" s="119"/>
      <c r="O505" s="165"/>
      <c r="Q505" s="119"/>
    </row>
    <row r="506" spans="13:17" ht="20.100000000000001" customHeight="1">
      <c r="M506" s="119"/>
      <c r="N506" s="119"/>
      <c r="O506" s="165"/>
      <c r="Q506" s="119"/>
    </row>
    <row r="507" spans="13:17" ht="20.100000000000001" customHeight="1">
      <c r="M507" s="119"/>
      <c r="N507" s="119"/>
      <c r="O507" s="165"/>
      <c r="Q507" s="119"/>
    </row>
    <row r="508" spans="13:17" ht="20.100000000000001" customHeight="1">
      <c r="M508" s="119"/>
      <c r="N508" s="119"/>
      <c r="O508" s="165"/>
      <c r="Q508" s="119"/>
    </row>
    <row r="509" spans="13:17" ht="20.100000000000001" customHeight="1">
      <c r="M509" s="119"/>
      <c r="N509" s="119"/>
      <c r="O509" s="165"/>
      <c r="Q509" s="119"/>
    </row>
    <row r="510" spans="13:17" ht="20.100000000000001" customHeight="1">
      <c r="M510" s="119"/>
      <c r="N510" s="119"/>
      <c r="O510" s="165"/>
      <c r="Q510" s="119"/>
    </row>
    <row r="511" spans="13:17" ht="20.100000000000001" customHeight="1">
      <c r="M511" s="119"/>
      <c r="N511" s="119"/>
      <c r="O511" s="165"/>
      <c r="Q511" s="119"/>
    </row>
    <row r="512" spans="13:17" ht="20.100000000000001" customHeight="1">
      <c r="M512" s="119"/>
      <c r="N512" s="119"/>
      <c r="O512" s="165"/>
      <c r="Q512" s="119"/>
    </row>
    <row r="513" spans="13:17" ht="20.100000000000001" customHeight="1">
      <c r="M513" s="119"/>
      <c r="N513" s="119"/>
      <c r="O513" s="165"/>
      <c r="Q513" s="119"/>
    </row>
    <row r="514" spans="13:17" ht="20.100000000000001" customHeight="1">
      <c r="M514" s="119"/>
      <c r="N514" s="119"/>
      <c r="O514" s="165"/>
      <c r="Q514" s="119"/>
    </row>
    <row r="515" spans="13:17" ht="20.100000000000001" customHeight="1">
      <c r="M515" s="119"/>
      <c r="N515" s="119"/>
      <c r="O515" s="165"/>
      <c r="Q515" s="119"/>
    </row>
    <row r="516" spans="13:17" ht="20.100000000000001" customHeight="1">
      <c r="M516" s="119"/>
      <c r="N516" s="119"/>
      <c r="O516" s="165"/>
      <c r="Q516" s="119"/>
    </row>
    <row r="517" spans="13:17" ht="20.100000000000001" customHeight="1">
      <c r="M517" s="119"/>
      <c r="N517" s="119"/>
      <c r="O517" s="165"/>
      <c r="Q517" s="119"/>
    </row>
    <row r="518" spans="13:17" ht="20.100000000000001" customHeight="1">
      <c r="M518" s="119"/>
      <c r="N518" s="119"/>
      <c r="O518" s="165"/>
      <c r="Q518" s="119"/>
    </row>
    <row r="519" spans="13:17" ht="20.100000000000001" customHeight="1">
      <c r="M519" s="119"/>
      <c r="N519" s="119"/>
      <c r="O519" s="165"/>
      <c r="Q519" s="119"/>
    </row>
    <row r="520" spans="13:17" ht="20.100000000000001" customHeight="1">
      <c r="M520" s="119"/>
      <c r="N520" s="119"/>
      <c r="O520" s="165"/>
      <c r="Q520" s="119"/>
    </row>
    <row r="521" spans="13:17" ht="20.100000000000001" customHeight="1">
      <c r="M521" s="119"/>
      <c r="N521" s="119"/>
      <c r="O521" s="165"/>
      <c r="Q521" s="119"/>
    </row>
    <row r="522" spans="13:17" ht="20.100000000000001" customHeight="1">
      <c r="M522" s="119"/>
      <c r="N522" s="119"/>
      <c r="O522" s="165"/>
      <c r="Q522" s="119"/>
    </row>
    <row r="523" spans="13:17" ht="20.100000000000001" customHeight="1">
      <c r="M523" s="119"/>
      <c r="N523" s="119"/>
      <c r="O523" s="165"/>
      <c r="Q523" s="119"/>
    </row>
    <row r="524" spans="13:17" ht="20.100000000000001" customHeight="1">
      <c r="M524" s="119"/>
      <c r="N524" s="119"/>
      <c r="O524" s="165"/>
      <c r="Q524" s="119"/>
    </row>
    <row r="525" spans="13:17" ht="20.100000000000001" customHeight="1">
      <c r="M525" s="119"/>
      <c r="N525" s="119"/>
      <c r="O525" s="165"/>
      <c r="Q525" s="119"/>
    </row>
    <row r="526" spans="13:17" ht="20.100000000000001" customHeight="1">
      <c r="M526" s="119"/>
      <c r="N526" s="119"/>
      <c r="O526" s="165"/>
      <c r="Q526" s="119"/>
    </row>
    <row r="527" spans="13:17" ht="20.100000000000001" customHeight="1">
      <c r="M527" s="119"/>
      <c r="N527" s="119"/>
      <c r="O527" s="165"/>
      <c r="Q527" s="119"/>
    </row>
    <row r="528" spans="13:17" ht="20.100000000000001" customHeight="1">
      <c r="M528" s="119"/>
      <c r="N528" s="119"/>
      <c r="O528" s="165"/>
      <c r="Q528" s="119"/>
    </row>
    <row r="529" spans="13:17" ht="20.100000000000001" customHeight="1">
      <c r="M529" s="119"/>
      <c r="N529" s="119"/>
      <c r="O529" s="165"/>
      <c r="Q529" s="119"/>
    </row>
    <row r="530" spans="13:17" ht="20.100000000000001" customHeight="1">
      <c r="M530" s="119"/>
      <c r="N530" s="119"/>
      <c r="O530" s="165"/>
      <c r="Q530" s="119"/>
    </row>
    <row r="531" spans="13:17" ht="20.100000000000001" customHeight="1">
      <c r="M531" s="119"/>
      <c r="N531" s="119"/>
      <c r="O531" s="165"/>
      <c r="Q531" s="119"/>
    </row>
    <row r="532" spans="13:17" ht="20.100000000000001" customHeight="1">
      <c r="M532" s="119"/>
      <c r="N532" s="119"/>
      <c r="O532" s="165"/>
      <c r="Q532" s="119"/>
    </row>
    <row r="533" spans="13:17" ht="20.100000000000001" customHeight="1">
      <c r="M533" s="119"/>
      <c r="N533" s="119"/>
      <c r="O533" s="165"/>
      <c r="Q533" s="119"/>
    </row>
    <row r="534" spans="13:17" ht="20.100000000000001" customHeight="1">
      <c r="M534" s="119"/>
      <c r="N534" s="119"/>
      <c r="O534" s="165"/>
      <c r="Q534" s="119"/>
    </row>
    <row r="535" spans="13:17" ht="20.100000000000001" customHeight="1">
      <c r="M535" s="119"/>
      <c r="N535" s="119"/>
      <c r="O535" s="165"/>
      <c r="Q535" s="119"/>
    </row>
    <row r="536" spans="13:17" ht="20.100000000000001" customHeight="1">
      <c r="M536" s="119"/>
      <c r="N536" s="119"/>
      <c r="O536" s="165"/>
      <c r="Q536" s="119"/>
    </row>
    <row r="537" spans="13:17" ht="20.100000000000001" customHeight="1">
      <c r="M537" s="119"/>
      <c r="N537" s="119"/>
      <c r="O537" s="165"/>
      <c r="Q537" s="119"/>
    </row>
    <row r="538" spans="13:17" ht="20.100000000000001" customHeight="1">
      <c r="M538" s="119"/>
      <c r="N538" s="119"/>
      <c r="O538" s="165"/>
      <c r="Q538" s="119"/>
    </row>
    <row r="539" spans="13:17" ht="20.100000000000001" customHeight="1">
      <c r="M539" s="119"/>
      <c r="N539" s="119"/>
      <c r="O539" s="165"/>
      <c r="Q539" s="119"/>
    </row>
    <row r="540" spans="13:17" ht="20.100000000000001" customHeight="1">
      <c r="M540" s="119"/>
      <c r="N540" s="119"/>
      <c r="O540" s="165"/>
      <c r="Q540" s="119"/>
    </row>
    <row r="541" spans="13:17" ht="20.100000000000001" customHeight="1">
      <c r="M541" s="119"/>
      <c r="N541" s="119"/>
      <c r="O541" s="165"/>
      <c r="Q541" s="119"/>
    </row>
    <row r="542" spans="13:17" ht="20.100000000000001" customHeight="1">
      <c r="M542" s="119"/>
      <c r="N542" s="119"/>
      <c r="O542" s="165"/>
      <c r="Q542" s="119"/>
    </row>
    <row r="543" spans="13:17" ht="20.100000000000001" customHeight="1">
      <c r="M543" s="119"/>
      <c r="N543" s="119"/>
      <c r="O543" s="165"/>
      <c r="Q543" s="119"/>
    </row>
    <row r="544" spans="13:17" ht="20.100000000000001" customHeight="1">
      <c r="M544" s="119"/>
      <c r="N544" s="119"/>
      <c r="O544" s="165"/>
      <c r="Q544" s="119"/>
    </row>
    <row r="545" spans="13:17" ht="20.100000000000001" customHeight="1">
      <c r="M545" s="119"/>
      <c r="N545" s="119"/>
      <c r="O545" s="165"/>
      <c r="Q545" s="119"/>
    </row>
    <row r="546" spans="13:17" ht="20.100000000000001" customHeight="1">
      <c r="M546" s="119"/>
      <c r="N546" s="119"/>
      <c r="O546" s="165"/>
      <c r="Q546" s="119"/>
    </row>
    <row r="547" spans="13:17" ht="20.100000000000001" customHeight="1">
      <c r="M547" s="119"/>
      <c r="N547" s="119"/>
      <c r="O547" s="165"/>
      <c r="Q547" s="119"/>
    </row>
    <row r="548" spans="13:17" ht="20.100000000000001" customHeight="1">
      <c r="M548" s="119"/>
      <c r="N548" s="119"/>
      <c r="O548" s="165"/>
      <c r="Q548" s="119"/>
    </row>
    <row r="549" spans="13:17" ht="20.100000000000001" customHeight="1">
      <c r="M549" s="119"/>
      <c r="N549" s="119"/>
      <c r="O549" s="165"/>
      <c r="Q549" s="119"/>
    </row>
    <row r="550" spans="13:17" ht="20.100000000000001" customHeight="1">
      <c r="M550" s="119"/>
      <c r="N550" s="119"/>
      <c r="O550" s="165"/>
      <c r="Q550" s="119"/>
    </row>
    <row r="551" spans="13:17" ht="20.100000000000001" customHeight="1">
      <c r="M551" s="119"/>
      <c r="N551" s="119"/>
      <c r="O551" s="165"/>
      <c r="Q551" s="119"/>
    </row>
    <row r="552" spans="13:17" ht="20.100000000000001" customHeight="1">
      <c r="M552" s="119"/>
      <c r="N552" s="119"/>
      <c r="O552" s="165"/>
      <c r="Q552" s="119"/>
    </row>
    <row r="553" spans="13:17" ht="20.100000000000001" customHeight="1">
      <c r="M553" s="119"/>
      <c r="N553" s="119"/>
      <c r="O553" s="165"/>
      <c r="Q553" s="119"/>
    </row>
    <row r="554" spans="13:17" ht="20.100000000000001" customHeight="1">
      <c r="M554" s="119"/>
      <c r="N554" s="119"/>
      <c r="O554" s="165"/>
      <c r="Q554" s="119"/>
    </row>
    <row r="555" spans="13:17" ht="20.100000000000001" customHeight="1">
      <c r="M555" s="119"/>
      <c r="N555" s="119"/>
      <c r="O555" s="165"/>
      <c r="Q555" s="119"/>
    </row>
    <row r="556" spans="13:17" ht="20.100000000000001" customHeight="1">
      <c r="M556" s="119"/>
      <c r="N556" s="119"/>
      <c r="O556" s="165"/>
      <c r="Q556" s="119"/>
    </row>
    <row r="557" spans="13:17" ht="20.100000000000001" customHeight="1">
      <c r="M557" s="119"/>
      <c r="N557" s="119"/>
      <c r="O557" s="165"/>
      <c r="Q557" s="119"/>
    </row>
    <row r="558" spans="13:17" ht="20.100000000000001" customHeight="1">
      <c r="M558" s="119"/>
      <c r="N558" s="119"/>
      <c r="O558" s="165"/>
      <c r="Q558" s="119"/>
    </row>
    <row r="559" spans="13:17" ht="20.100000000000001" customHeight="1">
      <c r="M559" s="119"/>
      <c r="N559" s="119"/>
      <c r="O559" s="165"/>
      <c r="Q559" s="119"/>
    </row>
    <row r="560" spans="13:17" ht="20.100000000000001" customHeight="1">
      <c r="M560" s="119"/>
      <c r="N560" s="119"/>
      <c r="O560" s="165"/>
      <c r="Q560" s="119"/>
    </row>
    <row r="561" spans="13:17" ht="20.100000000000001" customHeight="1">
      <c r="M561" s="119"/>
      <c r="N561" s="119"/>
      <c r="O561" s="165"/>
      <c r="Q561" s="119"/>
    </row>
    <row r="562" spans="13:17" ht="20.100000000000001" customHeight="1">
      <c r="M562" s="119"/>
      <c r="N562" s="119"/>
      <c r="O562" s="165"/>
      <c r="Q562" s="119"/>
    </row>
    <row r="563" spans="13:17" ht="20.100000000000001" customHeight="1">
      <c r="M563" s="119"/>
      <c r="N563" s="119"/>
      <c r="O563" s="165"/>
      <c r="Q563" s="119"/>
    </row>
    <row r="564" spans="13:17" ht="20.100000000000001" customHeight="1">
      <c r="M564" s="119"/>
      <c r="N564" s="119"/>
      <c r="O564" s="165"/>
      <c r="Q564" s="119"/>
    </row>
    <row r="565" spans="13:17" ht="20.100000000000001" customHeight="1">
      <c r="M565" s="119"/>
      <c r="N565" s="119"/>
      <c r="O565" s="165"/>
      <c r="Q565" s="119"/>
    </row>
    <row r="566" spans="13:17" ht="20.100000000000001" customHeight="1">
      <c r="M566" s="119"/>
      <c r="N566" s="119"/>
      <c r="O566" s="165"/>
      <c r="Q566" s="119"/>
    </row>
    <row r="567" spans="13:17" ht="20.100000000000001" customHeight="1">
      <c r="M567" s="119"/>
      <c r="N567" s="119"/>
      <c r="O567" s="165"/>
      <c r="Q567" s="119"/>
    </row>
    <row r="568" spans="13:17" ht="20.100000000000001" customHeight="1">
      <c r="M568" s="119"/>
      <c r="N568" s="119"/>
      <c r="O568" s="165"/>
      <c r="Q568" s="119"/>
    </row>
    <row r="569" spans="13:17" ht="20.100000000000001" customHeight="1">
      <c r="M569" s="119"/>
      <c r="N569" s="119"/>
      <c r="O569" s="165"/>
      <c r="Q569" s="119"/>
    </row>
    <row r="570" spans="13:17" ht="20.100000000000001" customHeight="1">
      <c r="M570" s="119"/>
      <c r="N570" s="119"/>
      <c r="O570" s="165"/>
      <c r="Q570" s="119"/>
    </row>
    <row r="571" spans="13:17" ht="20.100000000000001" customHeight="1">
      <c r="M571" s="119"/>
      <c r="N571" s="119"/>
      <c r="O571" s="165"/>
      <c r="Q571" s="119"/>
    </row>
    <row r="572" spans="13:17" ht="20.100000000000001" customHeight="1">
      <c r="M572" s="119"/>
      <c r="N572" s="119"/>
      <c r="O572" s="165"/>
      <c r="Q572" s="119"/>
    </row>
    <row r="573" spans="13:17" ht="20.100000000000001" customHeight="1">
      <c r="M573" s="119"/>
      <c r="N573" s="119"/>
      <c r="O573" s="165"/>
      <c r="Q573" s="119"/>
    </row>
    <row r="574" spans="13:17" ht="20.100000000000001" customHeight="1">
      <c r="M574" s="119"/>
      <c r="N574" s="119"/>
      <c r="O574" s="165"/>
      <c r="Q574" s="119"/>
    </row>
    <row r="575" spans="13:17" ht="20.100000000000001" customHeight="1">
      <c r="M575" s="119"/>
      <c r="N575" s="119"/>
      <c r="O575" s="165"/>
      <c r="Q575" s="119"/>
    </row>
    <row r="576" spans="13:17" ht="20.100000000000001" customHeight="1">
      <c r="M576" s="119"/>
      <c r="N576" s="119"/>
      <c r="O576" s="165"/>
      <c r="Q576" s="119"/>
    </row>
    <row r="577" spans="13:17" ht="20.100000000000001" customHeight="1">
      <c r="M577" s="119"/>
      <c r="N577" s="119"/>
      <c r="O577" s="165"/>
      <c r="Q577" s="119"/>
    </row>
    <row r="578" spans="13:17" ht="20.100000000000001" customHeight="1">
      <c r="M578" s="119"/>
      <c r="N578" s="119"/>
      <c r="O578" s="165"/>
      <c r="Q578" s="119"/>
    </row>
    <row r="579" spans="13:17" ht="20.100000000000001" customHeight="1">
      <c r="M579" s="119"/>
      <c r="N579" s="119"/>
      <c r="O579" s="165"/>
      <c r="Q579" s="119"/>
    </row>
    <row r="580" spans="13:17" ht="20.100000000000001" customHeight="1">
      <c r="M580" s="119"/>
      <c r="N580" s="119"/>
      <c r="O580" s="165"/>
      <c r="Q580" s="119"/>
    </row>
    <row r="581" spans="13:17" ht="20.100000000000001" customHeight="1">
      <c r="M581" s="119"/>
      <c r="N581" s="119"/>
      <c r="O581" s="165"/>
      <c r="Q581" s="119"/>
    </row>
    <row r="582" spans="13:17" ht="20.100000000000001" customHeight="1">
      <c r="M582" s="119"/>
      <c r="N582" s="119"/>
      <c r="O582" s="165"/>
      <c r="Q582" s="119"/>
    </row>
    <row r="583" spans="13:17" ht="20.100000000000001" customHeight="1">
      <c r="M583" s="119"/>
      <c r="N583" s="119"/>
      <c r="O583" s="165"/>
      <c r="Q583" s="119"/>
    </row>
    <row r="584" spans="13:17" ht="20.100000000000001" customHeight="1">
      <c r="M584" s="119"/>
      <c r="N584" s="119"/>
      <c r="O584" s="165"/>
      <c r="Q584" s="119"/>
    </row>
    <row r="585" spans="13:17" ht="20.100000000000001" customHeight="1">
      <c r="M585" s="119"/>
      <c r="N585" s="119"/>
      <c r="O585" s="165"/>
      <c r="Q585" s="119"/>
    </row>
    <row r="586" spans="13:17" ht="20.100000000000001" customHeight="1">
      <c r="M586" s="119"/>
      <c r="N586" s="119"/>
      <c r="O586" s="165"/>
      <c r="Q586" s="119"/>
    </row>
    <row r="587" spans="13:17" ht="20.100000000000001" customHeight="1">
      <c r="M587" s="119"/>
      <c r="N587" s="119"/>
      <c r="O587" s="165"/>
      <c r="Q587" s="119"/>
    </row>
  </sheetData>
  <mergeCells count="108">
    <mergeCell ref="A1:O1"/>
    <mergeCell ref="A3:M3"/>
    <mergeCell ref="N3:O3"/>
    <mergeCell ref="A5:L5"/>
    <mergeCell ref="M5:M6"/>
    <mergeCell ref="N5:N6"/>
    <mergeCell ref="O5:O6"/>
    <mergeCell ref="C10:F10"/>
    <mergeCell ref="G10:L10"/>
    <mergeCell ref="E11:H11"/>
    <mergeCell ref="I11:L11"/>
    <mergeCell ref="E12:J12"/>
    <mergeCell ref="E13:I13"/>
    <mergeCell ref="J13:K13"/>
    <mergeCell ref="Q5:Q6"/>
    <mergeCell ref="A6:L6"/>
    <mergeCell ref="A7:L7"/>
    <mergeCell ref="A8:D8"/>
    <mergeCell ref="E8:L8"/>
    <mergeCell ref="B9:E9"/>
    <mergeCell ref="F9:L9"/>
    <mergeCell ref="E17:I17"/>
    <mergeCell ref="J17:K17"/>
    <mergeCell ref="E18:I18"/>
    <mergeCell ref="J18:K18"/>
    <mergeCell ref="E19:I19"/>
    <mergeCell ref="J19:K19"/>
    <mergeCell ref="E14:I14"/>
    <mergeCell ref="J14:K14"/>
    <mergeCell ref="E15:I15"/>
    <mergeCell ref="J15:K15"/>
    <mergeCell ref="E16:I16"/>
    <mergeCell ref="J16:K16"/>
    <mergeCell ref="E23:I23"/>
    <mergeCell ref="J23:K23"/>
    <mergeCell ref="E24:I24"/>
    <mergeCell ref="J24:K24"/>
    <mergeCell ref="E25:I25"/>
    <mergeCell ref="J25:K25"/>
    <mergeCell ref="E20:I20"/>
    <mergeCell ref="J20:K20"/>
    <mergeCell ref="E21:I21"/>
    <mergeCell ref="J21:K21"/>
    <mergeCell ref="E22:I22"/>
    <mergeCell ref="J22:K22"/>
    <mergeCell ref="E29:I29"/>
    <mergeCell ref="J29:K29"/>
    <mergeCell ref="E30:I30"/>
    <mergeCell ref="J30:K30"/>
    <mergeCell ref="E31:I31"/>
    <mergeCell ref="J31:K31"/>
    <mergeCell ref="E26:I26"/>
    <mergeCell ref="J26:K26"/>
    <mergeCell ref="E27:I27"/>
    <mergeCell ref="J27:K27"/>
    <mergeCell ref="E28:I28"/>
    <mergeCell ref="J28:K28"/>
    <mergeCell ref="E35:I35"/>
    <mergeCell ref="J35:K35"/>
    <mergeCell ref="E36:I36"/>
    <mergeCell ref="J36:K36"/>
    <mergeCell ref="E37:I37"/>
    <mergeCell ref="J37:K37"/>
    <mergeCell ref="E32:I32"/>
    <mergeCell ref="J32:K32"/>
    <mergeCell ref="E33:I33"/>
    <mergeCell ref="J33:K33"/>
    <mergeCell ref="E34:I34"/>
    <mergeCell ref="J34:K34"/>
    <mergeCell ref="E41:I41"/>
    <mergeCell ref="J41:K41"/>
    <mergeCell ref="E42:I42"/>
    <mergeCell ref="J42:K42"/>
    <mergeCell ref="E43:I43"/>
    <mergeCell ref="J43:K43"/>
    <mergeCell ref="E38:I38"/>
    <mergeCell ref="J38:K38"/>
    <mergeCell ref="E39:I39"/>
    <mergeCell ref="J39:K39"/>
    <mergeCell ref="E40:I40"/>
    <mergeCell ref="J40:K40"/>
    <mergeCell ref="E48:I48"/>
    <mergeCell ref="J48:K48"/>
    <mergeCell ref="E49:I49"/>
    <mergeCell ref="J49:K49"/>
    <mergeCell ref="E50:I50"/>
    <mergeCell ref="J50:K50"/>
    <mergeCell ref="C44:F44"/>
    <mergeCell ref="G44:L44"/>
    <mergeCell ref="E45:H45"/>
    <mergeCell ref="I45:L45"/>
    <mergeCell ref="E46:J46"/>
    <mergeCell ref="E47:I47"/>
    <mergeCell ref="J47:K47"/>
    <mergeCell ref="E58:I58"/>
    <mergeCell ref="J58:K58"/>
    <mergeCell ref="E54:J54"/>
    <mergeCell ref="E55:I55"/>
    <mergeCell ref="J55:K55"/>
    <mergeCell ref="E56:J56"/>
    <mergeCell ref="E57:I57"/>
    <mergeCell ref="J57:K57"/>
    <mergeCell ref="E51:I51"/>
    <mergeCell ref="J51:K51"/>
    <mergeCell ref="C52:F52"/>
    <mergeCell ref="G52:L52"/>
    <mergeCell ref="E53:H53"/>
    <mergeCell ref="I53:L53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8" scale="9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86"/>
  <sheetViews>
    <sheetView showGridLines="0" topLeftCell="A40" zoomScaleNormal="100" workbookViewId="0">
      <selection activeCell="A43" sqref="A43:XFD50"/>
    </sheetView>
  </sheetViews>
  <sheetFormatPr defaultRowHeight="20.100000000000001" customHeight="1"/>
  <cols>
    <col min="1" max="8" width="1.625" style="98" customWidth="1"/>
    <col min="9" max="9" width="37.625" style="98" customWidth="1"/>
    <col min="10" max="10" width="23.625" style="98" customWidth="1"/>
    <col min="11" max="11" width="2.625" style="98" customWidth="1"/>
    <col min="12" max="12" width="10.625" style="98" customWidth="1"/>
    <col min="13" max="14" width="12.625" style="98" customWidth="1"/>
    <col min="15" max="15" width="12.625" style="166" customWidth="1"/>
    <col min="16" max="16" width="0.875" style="181" hidden="1" customWidth="1"/>
    <col min="17" max="17" width="60.25" style="98" customWidth="1"/>
    <col min="18" max="234" width="9" style="98"/>
    <col min="235" max="235" width="1.5" style="98" customWidth="1"/>
    <col min="236" max="236" width="0.75" style="98" customWidth="1"/>
    <col min="237" max="242" width="1" style="98" customWidth="1"/>
    <col min="243" max="243" width="0.5" style="98" customWidth="1"/>
    <col min="244" max="244" width="31.25" style="98" customWidth="1"/>
    <col min="245" max="245" width="33.5" style="98" customWidth="1"/>
    <col min="246" max="246" width="2.625" style="98" customWidth="1"/>
    <col min="247" max="247" width="10.375" style="98" customWidth="1"/>
    <col min="248" max="248" width="10.875" style="98" customWidth="1"/>
    <col min="249" max="249" width="14.25" style="98" customWidth="1"/>
    <col min="250" max="250" width="10.875" style="98" customWidth="1"/>
    <col min="251" max="257" width="0" style="98" hidden="1" customWidth="1"/>
    <col min="258" max="258" width="9" style="98"/>
    <col min="259" max="259" width="10.875" style="98" bestFit="1" customWidth="1"/>
    <col min="260" max="490" width="9" style="98"/>
    <col min="491" max="491" width="1.5" style="98" customWidth="1"/>
    <col min="492" max="492" width="0.75" style="98" customWidth="1"/>
    <col min="493" max="498" width="1" style="98" customWidth="1"/>
    <col min="499" max="499" width="0.5" style="98" customWidth="1"/>
    <col min="500" max="500" width="31.25" style="98" customWidth="1"/>
    <col min="501" max="501" width="33.5" style="98" customWidth="1"/>
    <col min="502" max="502" width="2.625" style="98" customWidth="1"/>
    <col min="503" max="503" width="10.375" style="98" customWidth="1"/>
    <col min="504" max="504" width="10.875" style="98" customWidth="1"/>
    <col min="505" max="505" width="14.25" style="98" customWidth="1"/>
    <col min="506" max="506" width="10.875" style="98" customWidth="1"/>
    <col min="507" max="513" width="0" style="98" hidden="1" customWidth="1"/>
    <col min="514" max="514" width="9" style="98"/>
    <col min="515" max="515" width="10.875" style="98" bestFit="1" customWidth="1"/>
    <col min="516" max="746" width="9" style="98"/>
    <col min="747" max="747" width="1.5" style="98" customWidth="1"/>
    <col min="748" max="748" width="0.75" style="98" customWidth="1"/>
    <col min="749" max="754" width="1" style="98" customWidth="1"/>
    <col min="755" max="755" width="0.5" style="98" customWidth="1"/>
    <col min="756" max="756" width="31.25" style="98" customWidth="1"/>
    <col min="757" max="757" width="33.5" style="98" customWidth="1"/>
    <col min="758" max="758" width="2.625" style="98" customWidth="1"/>
    <col min="759" max="759" width="10.375" style="98" customWidth="1"/>
    <col min="760" max="760" width="10.875" style="98" customWidth="1"/>
    <col min="761" max="761" width="14.25" style="98" customWidth="1"/>
    <col min="762" max="762" width="10.875" style="98" customWidth="1"/>
    <col min="763" max="769" width="0" style="98" hidden="1" customWidth="1"/>
    <col min="770" max="770" width="9" style="98"/>
    <col min="771" max="771" width="10.875" style="98" bestFit="1" customWidth="1"/>
    <col min="772" max="1002" width="9" style="98"/>
    <col min="1003" max="1003" width="1.5" style="98" customWidth="1"/>
    <col min="1004" max="1004" width="0.75" style="98" customWidth="1"/>
    <col min="1005" max="1010" width="1" style="98" customWidth="1"/>
    <col min="1011" max="1011" width="0.5" style="98" customWidth="1"/>
    <col min="1012" max="1012" width="31.25" style="98" customWidth="1"/>
    <col min="1013" max="1013" width="33.5" style="98" customWidth="1"/>
    <col min="1014" max="1014" width="2.625" style="98" customWidth="1"/>
    <col min="1015" max="1015" width="10.375" style="98" customWidth="1"/>
    <col min="1016" max="1016" width="10.875" style="98" customWidth="1"/>
    <col min="1017" max="1017" width="14.25" style="98" customWidth="1"/>
    <col min="1018" max="1018" width="10.875" style="98" customWidth="1"/>
    <col min="1019" max="1025" width="0" style="98" hidden="1" customWidth="1"/>
    <col min="1026" max="1026" width="9" style="98"/>
    <col min="1027" max="1027" width="10.875" style="98" bestFit="1" customWidth="1"/>
    <col min="1028" max="1258" width="9" style="98"/>
    <col min="1259" max="1259" width="1.5" style="98" customWidth="1"/>
    <col min="1260" max="1260" width="0.75" style="98" customWidth="1"/>
    <col min="1261" max="1266" width="1" style="98" customWidth="1"/>
    <col min="1267" max="1267" width="0.5" style="98" customWidth="1"/>
    <col min="1268" max="1268" width="31.25" style="98" customWidth="1"/>
    <col min="1269" max="1269" width="33.5" style="98" customWidth="1"/>
    <col min="1270" max="1270" width="2.625" style="98" customWidth="1"/>
    <col min="1271" max="1271" width="10.375" style="98" customWidth="1"/>
    <col min="1272" max="1272" width="10.875" style="98" customWidth="1"/>
    <col min="1273" max="1273" width="14.25" style="98" customWidth="1"/>
    <col min="1274" max="1274" width="10.875" style="98" customWidth="1"/>
    <col min="1275" max="1281" width="0" style="98" hidden="1" customWidth="1"/>
    <col min="1282" max="1282" width="9" style="98"/>
    <col min="1283" max="1283" width="10.875" style="98" bestFit="1" customWidth="1"/>
    <col min="1284" max="1514" width="9" style="98"/>
    <col min="1515" max="1515" width="1.5" style="98" customWidth="1"/>
    <col min="1516" max="1516" width="0.75" style="98" customWidth="1"/>
    <col min="1517" max="1522" width="1" style="98" customWidth="1"/>
    <col min="1523" max="1523" width="0.5" style="98" customWidth="1"/>
    <col min="1524" max="1524" width="31.25" style="98" customWidth="1"/>
    <col min="1525" max="1525" width="33.5" style="98" customWidth="1"/>
    <col min="1526" max="1526" width="2.625" style="98" customWidth="1"/>
    <col min="1527" max="1527" width="10.375" style="98" customWidth="1"/>
    <col min="1528" max="1528" width="10.875" style="98" customWidth="1"/>
    <col min="1529" max="1529" width="14.25" style="98" customWidth="1"/>
    <col min="1530" max="1530" width="10.875" style="98" customWidth="1"/>
    <col min="1531" max="1537" width="0" style="98" hidden="1" customWidth="1"/>
    <col min="1538" max="1538" width="9" style="98"/>
    <col min="1539" max="1539" width="10.875" style="98" bestFit="1" customWidth="1"/>
    <col min="1540" max="1770" width="9" style="98"/>
    <col min="1771" max="1771" width="1.5" style="98" customWidth="1"/>
    <col min="1772" max="1772" width="0.75" style="98" customWidth="1"/>
    <col min="1773" max="1778" width="1" style="98" customWidth="1"/>
    <col min="1779" max="1779" width="0.5" style="98" customWidth="1"/>
    <col min="1780" max="1780" width="31.25" style="98" customWidth="1"/>
    <col min="1781" max="1781" width="33.5" style="98" customWidth="1"/>
    <col min="1782" max="1782" width="2.625" style="98" customWidth="1"/>
    <col min="1783" max="1783" width="10.375" style="98" customWidth="1"/>
    <col min="1784" max="1784" width="10.875" style="98" customWidth="1"/>
    <col min="1785" max="1785" width="14.25" style="98" customWidth="1"/>
    <col min="1786" max="1786" width="10.875" style="98" customWidth="1"/>
    <col min="1787" max="1793" width="0" style="98" hidden="1" customWidth="1"/>
    <col min="1794" max="1794" width="9" style="98"/>
    <col min="1795" max="1795" width="10.875" style="98" bestFit="1" customWidth="1"/>
    <col min="1796" max="2026" width="9" style="98"/>
    <col min="2027" max="2027" width="1.5" style="98" customWidth="1"/>
    <col min="2028" max="2028" width="0.75" style="98" customWidth="1"/>
    <col min="2029" max="2034" width="1" style="98" customWidth="1"/>
    <col min="2035" max="2035" width="0.5" style="98" customWidth="1"/>
    <col min="2036" max="2036" width="31.25" style="98" customWidth="1"/>
    <col min="2037" max="2037" width="33.5" style="98" customWidth="1"/>
    <col min="2038" max="2038" width="2.625" style="98" customWidth="1"/>
    <col min="2039" max="2039" width="10.375" style="98" customWidth="1"/>
    <col min="2040" max="2040" width="10.875" style="98" customWidth="1"/>
    <col min="2041" max="2041" width="14.25" style="98" customWidth="1"/>
    <col min="2042" max="2042" width="10.875" style="98" customWidth="1"/>
    <col min="2043" max="2049" width="0" style="98" hidden="1" customWidth="1"/>
    <col min="2050" max="2050" width="9" style="98"/>
    <col min="2051" max="2051" width="10.875" style="98" bestFit="1" customWidth="1"/>
    <col min="2052" max="2282" width="9" style="98"/>
    <col min="2283" max="2283" width="1.5" style="98" customWidth="1"/>
    <col min="2284" max="2284" width="0.75" style="98" customWidth="1"/>
    <col min="2285" max="2290" width="1" style="98" customWidth="1"/>
    <col min="2291" max="2291" width="0.5" style="98" customWidth="1"/>
    <col min="2292" max="2292" width="31.25" style="98" customWidth="1"/>
    <col min="2293" max="2293" width="33.5" style="98" customWidth="1"/>
    <col min="2294" max="2294" width="2.625" style="98" customWidth="1"/>
    <col min="2295" max="2295" width="10.375" style="98" customWidth="1"/>
    <col min="2296" max="2296" width="10.875" style="98" customWidth="1"/>
    <col min="2297" max="2297" width="14.25" style="98" customWidth="1"/>
    <col min="2298" max="2298" width="10.875" style="98" customWidth="1"/>
    <col min="2299" max="2305" width="0" style="98" hidden="1" customWidth="1"/>
    <col min="2306" max="2306" width="9" style="98"/>
    <col min="2307" max="2307" width="10.875" style="98" bestFit="1" customWidth="1"/>
    <col min="2308" max="2538" width="9" style="98"/>
    <col min="2539" max="2539" width="1.5" style="98" customWidth="1"/>
    <col min="2540" max="2540" width="0.75" style="98" customWidth="1"/>
    <col min="2541" max="2546" width="1" style="98" customWidth="1"/>
    <col min="2547" max="2547" width="0.5" style="98" customWidth="1"/>
    <col min="2548" max="2548" width="31.25" style="98" customWidth="1"/>
    <col min="2549" max="2549" width="33.5" style="98" customWidth="1"/>
    <col min="2550" max="2550" width="2.625" style="98" customWidth="1"/>
    <col min="2551" max="2551" width="10.375" style="98" customWidth="1"/>
    <col min="2552" max="2552" width="10.875" style="98" customWidth="1"/>
    <col min="2553" max="2553" width="14.25" style="98" customWidth="1"/>
    <col min="2554" max="2554" width="10.875" style="98" customWidth="1"/>
    <col min="2555" max="2561" width="0" style="98" hidden="1" customWidth="1"/>
    <col min="2562" max="2562" width="9" style="98"/>
    <col min="2563" max="2563" width="10.875" style="98" bestFit="1" customWidth="1"/>
    <col min="2564" max="2794" width="9" style="98"/>
    <col min="2795" max="2795" width="1.5" style="98" customWidth="1"/>
    <col min="2796" max="2796" width="0.75" style="98" customWidth="1"/>
    <col min="2797" max="2802" width="1" style="98" customWidth="1"/>
    <col min="2803" max="2803" width="0.5" style="98" customWidth="1"/>
    <col min="2804" max="2804" width="31.25" style="98" customWidth="1"/>
    <col min="2805" max="2805" width="33.5" style="98" customWidth="1"/>
    <col min="2806" max="2806" width="2.625" style="98" customWidth="1"/>
    <col min="2807" max="2807" width="10.375" style="98" customWidth="1"/>
    <col min="2808" max="2808" width="10.875" style="98" customWidth="1"/>
    <col min="2809" max="2809" width="14.25" style="98" customWidth="1"/>
    <col min="2810" max="2810" width="10.875" style="98" customWidth="1"/>
    <col min="2811" max="2817" width="0" style="98" hidden="1" customWidth="1"/>
    <col min="2818" max="2818" width="9" style="98"/>
    <col min="2819" max="2819" width="10.875" style="98" bestFit="1" customWidth="1"/>
    <col min="2820" max="3050" width="9" style="98"/>
    <col min="3051" max="3051" width="1.5" style="98" customWidth="1"/>
    <col min="3052" max="3052" width="0.75" style="98" customWidth="1"/>
    <col min="3053" max="3058" width="1" style="98" customWidth="1"/>
    <col min="3059" max="3059" width="0.5" style="98" customWidth="1"/>
    <col min="3060" max="3060" width="31.25" style="98" customWidth="1"/>
    <col min="3061" max="3061" width="33.5" style="98" customWidth="1"/>
    <col min="3062" max="3062" width="2.625" style="98" customWidth="1"/>
    <col min="3063" max="3063" width="10.375" style="98" customWidth="1"/>
    <col min="3064" max="3064" width="10.875" style="98" customWidth="1"/>
    <col min="3065" max="3065" width="14.25" style="98" customWidth="1"/>
    <col min="3066" max="3066" width="10.875" style="98" customWidth="1"/>
    <col min="3067" max="3073" width="0" style="98" hidden="1" customWidth="1"/>
    <col min="3074" max="3074" width="9" style="98"/>
    <col min="3075" max="3075" width="10.875" style="98" bestFit="1" customWidth="1"/>
    <col min="3076" max="3306" width="9" style="98"/>
    <col min="3307" max="3307" width="1.5" style="98" customWidth="1"/>
    <col min="3308" max="3308" width="0.75" style="98" customWidth="1"/>
    <col min="3309" max="3314" width="1" style="98" customWidth="1"/>
    <col min="3315" max="3315" width="0.5" style="98" customWidth="1"/>
    <col min="3316" max="3316" width="31.25" style="98" customWidth="1"/>
    <col min="3317" max="3317" width="33.5" style="98" customWidth="1"/>
    <col min="3318" max="3318" width="2.625" style="98" customWidth="1"/>
    <col min="3319" max="3319" width="10.375" style="98" customWidth="1"/>
    <col min="3320" max="3320" width="10.875" style="98" customWidth="1"/>
    <col min="3321" max="3321" width="14.25" style="98" customWidth="1"/>
    <col min="3322" max="3322" width="10.875" style="98" customWidth="1"/>
    <col min="3323" max="3329" width="0" style="98" hidden="1" customWidth="1"/>
    <col min="3330" max="3330" width="9" style="98"/>
    <col min="3331" max="3331" width="10.875" style="98" bestFit="1" customWidth="1"/>
    <col min="3332" max="3562" width="9" style="98"/>
    <col min="3563" max="3563" width="1.5" style="98" customWidth="1"/>
    <col min="3564" max="3564" width="0.75" style="98" customWidth="1"/>
    <col min="3565" max="3570" width="1" style="98" customWidth="1"/>
    <col min="3571" max="3571" width="0.5" style="98" customWidth="1"/>
    <col min="3572" max="3572" width="31.25" style="98" customWidth="1"/>
    <col min="3573" max="3573" width="33.5" style="98" customWidth="1"/>
    <col min="3574" max="3574" width="2.625" style="98" customWidth="1"/>
    <col min="3575" max="3575" width="10.375" style="98" customWidth="1"/>
    <col min="3576" max="3576" width="10.875" style="98" customWidth="1"/>
    <col min="3577" max="3577" width="14.25" style="98" customWidth="1"/>
    <col min="3578" max="3578" width="10.875" style="98" customWidth="1"/>
    <col min="3579" max="3585" width="0" style="98" hidden="1" customWidth="1"/>
    <col min="3586" max="3586" width="9" style="98"/>
    <col min="3587" max="3587" width="10.875" style="98" bestFit="1" customWidth="1"/>
    <col min="3588" max="3818" width="9" style="98"/>
    <col min="3819" max="3819" width="1.5" style="98" customWidth="1"/>
    <col min="3820" max="3820" width="0.75" style="98" customWidth="1"/>
    <col min="3821" max="3826" width="1" style="98" customWidth="1"/>
    <col min="3827" max="3827" width="0.5" style="98" customWidth="1"/>
    <col min="3828" max="3828" width="31.25" style="98" customWidth="1"/>
    <col min="3829" max="3829" width="33.5" style="98" customWidth="1"/>
    <col min="3830" max="3830" width="2.625" style="98" customWidth="1"/>
    <col min="3831" max="3831" width="10.375" style="98" customWidth="1"/>
    <col min="3832" max="3832" width="10.875" style="98" customWidth="1"/>
    <col min="3833" max="3833" width="14.25" style="98" customWidth="1"/>
    <col min="3834" max="3834" width="10.875" style="98" customWidth="1"/>
    <col min="3835" max="3841" width="0" style="98" hidden="1" customWidth="1"/>
    <col min="3842" max="3842" width="9" style="98"/>
    <col min="3843" max="3843" width="10.875" style="98" bestFit="1" customWidth="1"/>
    <col min="3844" max="4074" width="9" style="98"/>
    <col min="4075" max="4075" width="1.5" style="98" customWidth="1"/>
    <col min="4076" max="4076" width="0.75" style="98" customWidth="1"/>
    <col min="4077" max="4082" width="1" style="98" customWidth="1"/>
    <col min="4083" max="4083" width="0.5" style="98" customWidth="1"/>
    <col min="4084" max="4084" width="31.25" style="98" customWidth="1"/>
    <col min="4085" max="4085" width="33.5" style="98" customWidth="1"/>
    <col min="4086" max="4086" width="2.625" style="98" customWidth="1"/>
    <col min="4087" max="4087" width="10.375" style="98" customWidth="1"/>
    <col min="4088" max="4088" width="10.875" style="98" customWidth="1"/>
    <col min="4089" max="4089" width="14.25" style="98" customWidth="1"/>
    <col min="4090" max="4090" width="10.875" style="98" customWidth="1"/>
    <col min="4091" max="4097" width="0" style="98" hidden="1" customWidth="1"/>
    <col min="4098" max="4098" width="9" style="98"/>
    <col min="4099" max="4099" width="10.875" style="98" bestFit="1" customWidth="1"/>
    <col min="4100" max="4330" width="9" style="98"/>
    <col min="4331" max="4331" width="1.5" style="98" customWidth="1"/>
    <col min="4332" max="4332" width="0.75" style="98" customWidth="1"/>
    <col min="4333" max="4338" width="1" style="98" customWidth="1"/>
    <col min="4339" max="4339" width="0.5" style="98" customWidth="1"/>
    <col min="4340" max="4340" width="31.25" style="98" customWidth="1"/>
    <col min="4341" max="4341" width="33.5" style="98" customWidth="1"/>
    <col min="4342" max="4342" width="2.625" style="98" customWidth="1"/>
    <col min="4343" max="4343" width="10.375" style="98" customWidth="1"/>
    <col min="4344" max="4344" width="10.875" style="98" customWidth="1"/>
    <col min="4345" max="4345" width="14.25" style="98" customWidth="1"/>
    <col min="4346" max="4346" width="10.875" style="98" customWidth="1"/>
    <col min="4347" max="4353" width="0" style="98" hidden="1" customWidth="1"/>
    <col min="4354" max="4354" width="9" style="98"/>
    <col min="4355" max="4355" width="10.875" style="98" bestFit="1" customWidth="1"/>
    <col min="4356" max="4586" width="9" style="98"/>
    <col min="4587" max="4587" width="1.5" style="98" customWidth="1"/>
    <col min="4588" max="4588" width="0.75" style="98" customWidth="1"/>
    <col min="4589" max="4594" width="1" style="98" customWidth="1"/>
    <col min="4595" max="4595" width="0.5" style="98" customWidth="1"/>
    <col min="4596" max="4596" width="31.25" style="98" customWidth="1"/>
    <col min="4597" max="4597" width="33.5" style="98" customWidth="1"/>
    <col min="4598" max="4598" width="2.625" style="98" customWidth="1"/>
    <col min="4599" max="4599" width="10.375" style="98" customWidth="1"/>
    <col min="4600" max="4600" width="10.875" style="98" customWidth="1"/>
    <col min="4601" max="4601" width="14.25" style="98" customWidth="1"/>
    <col min="4602" max="4602" width="10.875" style="98" customWidth="1"/>
    <col min="4603" max="4609" width="0" style="98" hidden="1" customWidth="1"/>
    <col min="4610" max="4610" width="9" style="98"/>
    <col min="4611" max="4611" width="10.875" style="98" bestFit="1" customWidth="1"/>
    <col min="4612" max="4842" width="9" style="98"/>
    <col min="4843" max="4843" width="1.5" style="98" customWidth="1"/>
    <col min="4844" max="4844" width="0.75" style="98" customWidth="1"/>
    <col min="4845" max="4850" width="1" style="98" customWidth="1"/>
    <col min="4851" max="4851" width="0.5" style="98" customWidth="1"/>
    <col min="4852" max="4852" width="31.25" style="98" customWidth="1"/>
    <col min="4853" max="4853" width="33.5" style="98" customWidth="1"/>
    <col min="4854" max="4854" width="2.625" style="98" customWidth="1"/>
    <col min="4855" max="4855" width="10.375" style="98" customWidth="1"/>
    <col min="4856" max="4856" width="10.875" style="98" customWidth="1"/>
    <col min="4857" max="4857" width="14.25" style="98" customWidth="1"/>
    <col min="4858" max="4858" width="10.875" style="98" customWidth="1"/>
    <col min="4859" max="4865" width="0" style="98" hidden="1" customWidth="1"/>
    <col min="4866" max="4866" width="9" style="98"/>
    <col min="4867" max="4867" width="10.875" style="98" bestFit="1" customWidth="1"/>
    <col min="4868" max="5098" width="9" style="98"/>
    <col min="5099" max="5099" width="1.5" style="98" customWidth="1"/>
    <col min="5100" max="5100" width="0.75" style="98" customWidth="1"/>
    <col min="5101" max="5106" width="1" style="98" customWidth="1"/>
    <col min="5107" max="5107" width="0.5" style="98" customWidth="1"/>
    <col min="5108" max="5108" width="31.25" style="98" customWidth="1"/>
    <col min="5109" max="5109" width="33.5" style="98" customWidth="1"/>
    <col min="5110" max="5110" width="2.625" style="98" customWidth="1"/>
    <col min="5111" max="5111" width="10.375" style="98" customWidth="1"/>
    <col min="5112" max="5112" width="10.875" style="98" customWidth="1"/>
    <col min="5113" max="5113" width="14.25" style="98" customWidth="1"/>
    <col min="5114" max="5114" width="10.875" style="98" customWidth="1"/>
    <col min="5115" max="5121" width="0" style="98" hidden="1" customWidth="1"/>
    <col min="5122" max="5122" width="9" style="98"/>
    <col min="5123" max="5123" width="10.875" style="98" bestFit="1" customWidth="1"/>
    <col min="5124" max="5354" width="9" style="98"/>
    <col min="5355" max="5355" width="1.5" style="98" customWidth="1"/>
    <col min="5356" max="5356" width="0.75" style="98" customWidth="1"/>
    <col min="5357" max="5362" width="1" style="98" customWidth="1"/>
    <col min="5363" max="5363" width="0.5" style="98" customWidth="1"/>
    <col min="5364" max="5364" width="31.25" style="98" customWidth="1"/>
    <col min="5365" max="5365" width="33.5" style="98" customWidth="1"/>
    <col min="5366" max="5366" width="2.625" style="98" customWidth="1"/>
    <col min="5367" max="5367" width="10.375" style="98" customWidth="1"/>
    <col min="5368" max="5368" width="10.875" style="98" customWidth="1"/>
    <col min="5369" max="5369" width="14.25" style="98" customWidth="1"/>
    <col min="5370" max="5370" width="10.875" style="98" customWidth="1"/>
    <col min="5371" max="5377" width="0" style="98" hidden="1" customWidth="1"/>
    <col min="5378" max="5378" width="9" style="98"/>
    <col min="5379" max="5379" width="10.875" style="98" bestFit="1" customWidth="1"/>
    <col min="5380" max="5610" width="9" style="98"/>
    <col min="5611" max="5611" width="1.5" style="98" customWidth="1"/>
    <col min="5612" max="5612" width="0.75" style="98" customWidth="1"/>
    <col min="5613" max="5618" width="1" style="98" customWidth="1"/>
    <col min="5619" max="5619" width="0.5" style="98" customWidth="1"/>
    <col min="5620" max="5620" width="31.25" style="98" customWidth="1"/>
    <col min="5621" max="5621" width="33.5" style="98" customWidth="1"/>
    <col min="5622" max="5622" width="2.625" style="98" customWidth="1"/>
    <col min="5623" max="5623" width="10.375" style="98" customWidth="1"/>
    <col min="5624" max="5624" width="10.875" style="98" customWidth="1"/>
    <col min="5625" max="5625" width="14.25" style="98" customWidth="1"/>
    <col min="5626" max="5626" width="10.875" style="98" customWidth="1"/>
    <col min="5627" max="5633" width="0" style="98" hidden="1" customWidth="1"/>
    <col min="5634" max="5634" width="9" style="98"/>
    <col min="5635" max="5635" width="10.875" style="98" bestFit="1" customWidth="1"/>
    <col min="5636" max="5866" width="9" style="98"/>
    <col min="5867" max="5867" width="1.5" style="98" customWidth="1"/>
    <col min="5868" max="5868" width="0.75" style="98" customWidth="1"/>
    <col min="5869" max="5874" width="1" style="98" customWidth="1"/>
    <col min="5875" max="5875" width="0.5" style="98" customWidth="1"/>
    <col min="5876" max="5876" width="31.25" style="98" customWidth="1"/>
    <col min="5877" max="5877" width="33.5" style="98" customWidth="1"/>
    <col min="5878" max="5878" width="2.625" style="98" customWidth="1"/>
    <col min="5879" max="5879" width="10.375" style="98" customWidth="1"/>
    <col min="5880" max="5880" width="10.875" style="98" customWidth="1"/>
    <col min="5881" max="5881" width="14.25" style="98" customWidth="1"/>
    <col min="5882" max="5882" width="10.875" style="98" customWidth="1"/>
    <col min="5883" max="5889" width="0" style="98" hidden="1" customWidth="1"/>
    <col min="5890" max="5890" width="9" style="98"/>
    <col min="5891" max="5891" width="10.875" style="98" bestFit="1" customWidth="1"/>
    <col min="5892" max="6122" width="9" style="98"/>
    <col min="6123" max="6123" width="1.5" style="98" customWidth="1"/>
    <col min="6124" max="6124" width="0.75" style="98" customWidth="1"/>
    <col min="6125" max="6130" width="1" style="98" customWidth="1"/>
    <col min="6131" max="6131" width="0.5" style="98" customWidth="1"/>
    <col min="6132" max="6132" width="31.25" style="98" customWidth="1"/>
    <col min="6133" max="6133" width="33.5" style="98" customWidth="1"/>
    <col min="6134" max="6134" width="2.625" style="98" customWidth="1"/>
    <col min="6135" max="6135" width="10.375" style="98" customWidth="1"/>
    <col min="6136" max="6136" width="10.875" style="98" customWidth="1"/>
    <col min="6137" max="6137" width="14.25" style="98" customWidth="1"/>
    <col min="6138" max="6138" width="10.875" style="98" customWidth="1"/>
    <col min="6139" max="6145" width="0" style="98" hidden="1" customWidth="1"/>
    <col min="6146" max="6146" width="9" style="98"/>
    <col min="6147" max="6147" width="10.875" style="98" bestFit="1" customWidth="1"/>
    <col min="6148" max="6378" width="9" style="98"/>
    <col min="6379" max="6379" width="1.5" style="98" customWidth="1"/>
    <col min="6380" max="6380" width="0.75" style="98" customWidth="1"/>
    <col min="6381" max="6386" width="1" style="98" customWidth="1"/>
    <col min="6387" max="6387" width="0.5" style="98" customWidth="1"/>
    <col min="6388" max="6388" width="31.25" style="98" customWidth="1"/>
    <col min="6389" max="6389" width="33.5" style="98" customWidth="1"/>
    <col min="6390" max="6390" width="2.625" style="98" customWidth="1"/>
    <col min="6391" max="6391" width="10.375" style="98" customWidth="1"/>
    <col min="6392" max="6392" width="10.875" style="98" customWidth="1"/>
    <col min="6393" max="6393" width="14.25" style="98" customWidth="1"/>
    <col min="6394" max="6394" width="10.875" style="98" customWidth="1"/>
    <col min="6395" max="6401" width="0" style="98" hidden="1" customWidth="1"/>
    <col min="6402" max="6402" width="9" style="98"/>
    <col min="6403" max="6403" width="10.875" style="98" bestFit="1" customWidth="1"/>
    <col min="6404" max="6634" width="9" style="98"/>
    <col min="6635" max="6635" width="1.5" style="98" customWidth="1"/>
    <col min="6636" max="6636" width="0.75" style="98" customWidth="1"/>
    <col min="6637" max="6642" width="1" style="98" customWidth="1"/>
    <col min="6643" max="6643" width="0.5" style="98" customWidth="1"/>
    <col min="6644" max="6644" width="31.25" style="98" customWidth="1"/>
    <col min="6645" max="6645" width="33.5" style="98" customWidth="1"/>
    <col min="6646" max="6646" width="2.625" style="98" customWidth="1"/>
    <col min="6647" max="6647" width="10.375" style="98" customWidth="1"/>
    <col min="6648" max="6648" width="10.875" style="98" customWidth="1"/>
    <col min="6649" max="6649" width="14.25" style="98" customWidth="1"/>
    <col min="6650" max="6650" width="10.875" style="98" customWidth="1"/>
    <col min="6651" max="6657" width="0" style="98" hidden="1" customWidth="1"/>
    <col min="6658" max="6658" width="9" style="98"/>
    <col min="6659" max="6659" width="10.875" style="98" bestFit="1" customWidth="1"/>
    <col min="6660" max="6890" width="9" style="98"/>
    <col min="6891" max="6891" width="1.5" style="98" customWidth="1"/>
    <col min="6892" max="6892" width="0.75" style="98" customWidth="1"/>
    <col min="6893" max="6898" width="1" style="98" customWidth="1"/>
    <col min="6899" max="6899" width="0.5" style="98" customWidth="1"/>
    <col min="6900" max="6900" width="31.25" style="98" customWidth="1"/>
    <col min="6901" max="6901" width="33.5" style="98" customWidth="1"/>
    <col min="6902" max="6902" width="2.625" style="98" customWidth="1"/>
    <col min="6903" max="6903" width="10.375" style="98" customWidth="1"/>
    <col min="6904" max="6904" width="10.875" style="98" customWidth="1"/>
    <col min="6905" max="6905" width="14.25" style="98" customWidth="1"/>
    <col min="6906" max="6906" width="10.875" style="98" customWidth="1"/>
    <col min="6907" max="6913" width="0" style="98" hidden="1" customWidth="1"/>
    <col min="6914" max="6914" width="9" style="98"/>
    <col min="6915" max="6915" width="10.875" style="98" bestFit="1" customWidth="1"/>
    <col min="6916" max="7146" width="9" style="98"/>
    <col min="7147" max="7147" width="1.5" style="98" customWidth="1"/>
    <col min="7148" max="7148" width="0.75" style="98" customWidth="1"/>
    <col min="7149" max="7154" width="1" style="98" customWidth="1"/>
    <col min="7155" max="7155" width="0.5" style="98" customWidth="1"/>
    <col min="7156" max="7156" width="31.25" style="98" customWidth="1"/>
    <col min="7157" max="7157" width="33.5" style="98" customWidth="1"/>
    <col min="7158" max="7158" width="2.625" style="98" customWidth="1"/>
    <col min="7159" max="7159" width="10.375" style="98" customWidth="1"/>
    <col min="7160" max="7160" width="10.875" style="98" customWidth="1"/>
    <col min="7161" max="7161" width="14.25" style="98" customWidth="1"/>
    <col min="7162" max="7162" width="10.875" style="98" customWidth="1"/>
    <col min="7163" max="7169" width="0" style="98" hidden="1" customWidth="1"/>
    <col min="7170" max="7170" width="9" style="98"/>
    <col min="7171" max="7171" width="10.875" style="98" bestFit="1" customWidth="1"/>
    <col min="7172" max="7402" width="9" style="98"/>
    <col min="7403" max="7403" width="1.5" style="98" customWidth="1"/>
    <col min="7404" max="7404" width="0.75" style="98" customWidth="1"/>
    <col min="7405" max="7410" width="1" style="98" customWidth="1"/>
    <col min="7411" max="7411" width="0.5" style="98" customWidth="1"/>
    <col min="7412" max="7412" width="31.25" style="98" customWidth="1"/>
    <col min="7413" max="7413" width="33.5" style="98" customWidth="1"/>
    <col min="7414" max="7414" width="2.625" style="98" customWidth="1"/>
    <col min="7415" max="7415" width="10.375" style="98" customWidth="1"/>
    <col min="7416" max="7416" width="10.875" style="98" customWidth="1"/>
    <col min="7417" max="7417" width="14.25" style="98" customWidth="1"/>
    <col min="7418" max="7418" width="10.875" style="98" customWidth="1"/>
    <col min="7419" max="7425" width="0" style="98" hidden="1" customWidth="1"/>
    <col min="7426" max="7426" width="9" style="98"/>
    <col min="7427" max="7427" width="10.875" style="98" bestFit="1" customWidth="1"/>
    <col min="7428" max="7658" width="9" style="98"/>
    <col min="7659" max="7659" width="1.5" style="98" customWidth="1"/>
    <col min="7660" max="7660" width="0.75" style="98" customWidth="1"/>
    <col min="7661" max="7666" width="1" style="98" customWidth="1"/>
    <col min="7667" max="7667" width="0.5" style="98" customWidth="1"/>
    <col min="7668" max="7668" width="31.25" style="98" customWidth="1"/>
    <col min="7669" max="7669" width="33.5" style="98" customWidth="1"/>
    <col min="7670" max="7670" width="2.625" style="98" customWidth="1"/>
    <col min="7671" max="7671" width="10.375" style="98" customWidth="1"/>
    <col min="7672" max="7672" width="10.875" style="98" customWidth="1"/>
    <col min="7673" max="7673" width="14.25" style="98" customWidth="1"/>
    <col min="7674" max="7674" width="10.875" style="98" customWidth="1"/>
    <col min="7675" max="7681" width="0" style="98" hidden="1" customWidth="1"/>
    <col min="7682" max="7682" width="9" style="98"/>
    <col min="7683" max="7683" width="10.875" style="98" bestFit="1" customWidth="1"/>
    <col min="7684" max="7914" width="9" style="98"/>
    <col min="7915" max="7915" width="1.5" style="98" customWidth="1"/>
    <col min="7916" max="7916" width="0.75" style="98" customWidth="1"/>
    <col min="7917" max="7922" width="1" style="98" customWidth="1"/>
    <col min="7923" max="7923" width="0.5" style="98" customWidth="1"/>
    <col min="7924" max="7924" width="31.25" style="98" customWidth="1"/>
    <col min="7925" max="7925" width="33.5" style="98" customWidth="1"/>
    <col min="7926" max="7926" width="2.625" style="98" customWidth="1"/>
    <col min="7927" max="7927" width="10.375" style="98" customWidth="1"/>
    <col min="7928" max="7928" width="10.875" style="98" customWidth="1"/>
    <col min="7929" max="7929" width="14.25" style="98" customWidth="1"/>
    <col min="7930" max="7930" width="10.875" style="98" customWidth="1"/>
    <col min="7931" max="7937" width="0" style="98" hidden="1" customWidth="1"/>
    <col min="7938" max="7938" width="9" style="98"/>
    <col min="7939" max="7939" width="10.875" style="98" bestFit="1" customWidth="1"/>
    <col min="7940" max="8170" width="9" style="98"/>
    <col min="8171" max="8171" width="1.5" style="98" customWidth="1"/>
    <col min="8172" max="8172" width="0.75" style="98" customWidth="1"/>
    <col min="8173" max="8178" width="1" style="98" customWidth="1"/>
    <col min="8179" max="8179" width="0.5" style="98" customWidth="1"/>
    <col min="8180" max="8180" width="31.25" style="98" customWidth="1"/>
    <col min="8181" max="8181" width="33.5" style="98" customWidth="1"/>
    <col min="8182" max="8182" width="2.625" style="98" customWidth="1"/>
    <col min="8183" max="8183" width="10.375" style="98" customWidth="1"/>
    <col min="8184" max="8184" width="10.875" style="98" customWidth="1"/>
    <col min="8185" max="8185" width="14.25" style="98" customWidth="1"/>
    <col min="8186" max="8186" width="10.875" style="98" customWidth="1"/>
    <col min="8187" max="8193" width="0" style="98" hidden="1" customWidth="1"/>
    <col min="8194" max="8194" width="9" style="98"/>
    <col min="8195" max="8195" width="10.875" style="98" bestFit="1" customWidth="1"/>
    <col min="8196" max="8426" width="9" style="98"/>
    <col min="8427" max="8427" width="1.5" style="98" customWidth="1"/>
    <col min="8428" max="8428" width="0.75" style="98" customWidth="1"/>
    <col min="8429" max="8434" width="1" style="98" customWidth="1"/>
    <col min="8435" max="8435" width="0.5" style="98" customWidth="1"/>
    <col min="8436" max="8436" width="31.25" style="98" customWidth="1"/>
    <col min="8437" max="8437" width="33.5" style="98" customWidth="1"/>
    <col min="8438" max="8438" width="2.625" style="98" customWidth="1"/>
    <col min="8439" max="8439" width="10.375" style="98" customWidth="1"/>
    <col min="8440" max="8440" width="10.875" style="98" customWidth="1"/>
    <col min="8441" max="8441" width="14.25" style="98" customWidth="1"/>
    <col min="8442" max="8442" width="10.875" style="98" customWidth="1"/>
    <col min="8443" max="8449" width="0" style="98" hidden="1" customWidth="1"/>
    <col min="8450" max="8450" width="9" style="98"/>
    <col min="8451" max="8451" width="10.875" style="98" bestFit="1" customWidth="1"/>
    <col min="8452" max="8682" width="9" style="98"/>
    <col min="8683" max="8683" width="1.5" style="98" customWidth="1"/>
    <col min="8684" max="8684" width="0.75" style="98" customWidth="1"/>
    <col min="8685" max="8690" width="1" style="98" customWidth="1"/>
    <col min="8691" max="8691" width="0.5" style="98" customWidth="1"/>
    <col min="8692" max="8692" width="31.25" style="98" customWidth="1"/>
    <col min="8693" max="8693" width="33.5" style="98" customWidth="1"/>
    <col min="8694" max="8694" width="2.625" style="98" customWidth="1"/>
    <col min="8695" max="8695" width="10.375" style="98" customWidth="1"/>
    <col min="8696" max="8696" width="10.875" style="98" customWidth="1"/>
    <col min="8697" max="8697" width="14.25" style="98" customWidth="1"/>
    <col min="8698" max="8698" width="10.875" style="98" customWidth="1"/>
    <col min="8699" max="8705" width="0" style="98" hidden="1" customWidth="1"/>
    <col min="8706" max="8706" width="9" style="98"/>
    <col min="8707" max="8707" width="10.875" style="98" bestFit="1" customWidth="1"/>
    <col min="8708" max="8938" width="9" style="98"/>
    <col min="8939" max="8939" width="1.5" style="98" customWidth="1"/>
    <col min="8940" max="8940" width="0.75" style="98" customWidth="1"/>
    <col min="8941" max="8946" width="1" style="98" customWidth="1"/>
    <col min="8947" max="8947" width="0.5" style="98" customWidth="1"/>
    <col min="8948" max="8948" width="31.25" style="98" customWidth="1"/>
    <col min="8949" max="8949" width="33.5" style="98" customWidth="1"/>
    <col min="8950" max="8950" width="2.625" style="98" customWidth="1"/>
    <col min="8951" max="8951" width="10.375" style="98" customWidth="1"/>
    <col min="8952" max="8952" width="10.875" style="98" customWidth="1"/>
    <col min="8953" max="8953" width="14.25" style="98" customWidth="1"/>
    <col min="8954" max="8954" width="10.875" style="98" customWidth="1"/>
    <col min="8955" max="8961" width="0" style="98" hidden="1" customWidth="1"/>
    <col min="8962" max="8962" width="9" style="98"/>
    <col min="8963" max="8963" width="10.875" style="98" bestFit="1" customWidth="1"/>
    <col min="8964" max="9194" width="9" style="98"/>
    <col min="9195" max="9195" width="1.5" style="98" customWidth="1"/>
    <col min="9196" max="9196" width="0.75" style="98" customWidth="1"/>
    <col min="9197" max="9202" width="1" style="98" customWidth="1"/>
    <col min="9203" max="9203" width="0.5" style="98" customWidth="1"/>
    <col min="9204" max="9204" width="31.25" style="98" customWidth="1"/>
    <col min="9205" max="9205" width="33.5" style="98" customWidth="1"/>
    <col min="9206" max="9206" width="2.625" style="98" customWidth="1"/>
    <col min="9207" max="9207" width="10.375" style="98" customWidth="1"/>
    <col min="9208" max="9208" width="10.875" style="98" customWidth="1"/>
    <col min="9209" max="9209" width="14.25" style="98" customWidth="1"/>
    <col min="9210" max="9210" width="10.875" style="98" customWidth="1"/>
    <col min="9211" max="9217" width="0" style="98" hidden="1" customWidth="1"/>
    <col min="9218" max="9218" width="9" style="98"/>
    <col min="9219" max="9219" width="10.875" style="98" bestFit="1" customWidth="1"/>
    <col min="9220" max="9450" width="9" style="98"/>
    <col min="9451" max="9451" width="1.5" style="98" customWidth="1"/>
    <col min="9452" max="9452" width="0.75" style="98" customWidth="1"/>
    <col min="9453" max="9458" width="1" style="98" customWidth="1"/>
    <col min="9459" max="9459" width="0.5" style="98" customWidth="1"/>
    <col min="9460" max="9460" width="31.25" style="98" customWidth="1"/>
    <col min="9461" max="9461" width="33.5" style="98" customWidth="1"/>
    <col min="9462" max="9462" width="2.625" style="98" customWidth="1"/>
    <col min="9463" max="9463" width="10.375" style="98" customWidth="1"/>
    <col min="9464" max="9464" width="10.875" style="98" customWidth="1"/>
    <col min="9465" max="9465" width="14.25" style="98" customWidth="1"/>
    <col min="9466" max="9466" width="10.875" style="98" customWidth="1"/>
    <col min="9467" max="9473" width="0" style="98" hidden="1" customWidth="1"/>
    <col min="9474" max="9474" width="9" style="98"/>
    <col min="9475" max="9475" width="10.875" style="98" bestFit="1" customWidth="1"/>
    <col min="9476" max="9706" width="9" style="98"/>
    <col min="9707" max="9707" width="1.5" style="98" customWidth="1"/>
    <col min="9708" max="9708" width="0.75" style="98" customWidth="1"/>
    <col min="9709" max="9714" width="1" style="98" customWidth="1"/>
    <col min="9715" max="9715" width="0.5" style="98" customWidth="1"/>
    <col min="9716" max="9716" width="31.25" style="98" customWidth="1"/>
    <col min="9717" max="9717" width="33.5" style="98" customWidth="1"/>
    <col min="9718" max="9718" width="2.625" style="98" customWidth="1"/>
    <col min="9719" max="9719" width="10.375" style="98" customWidth="1"/>
    <col min="9720" max="9720" width="10.875" style="98" customWidth="1"/>
    <col min="9721" max="9721" width="14.25" style="98" customWidth="1"/>
    <col min="9722" max="9722" width="10.875" style="98" customWidth="1"/>
    <col min="9723" max="9729" width="0" style="98" hidden="1" customWidth="1"/>
    <col min="9730" max="9730" width="9" style="98"/>
    <col min="9731" max="9731" width="10.875" style="98" bestFit="1" customWidth="1"/>
    <col min="9732" max="9962" width="9" style="98"/>
    <col min="9963" max="9963" width="1.5" style="98" customWidth="1"/>
    <col min="9964" max="9964" width="0.75" style="98" customWidth="1"/>
    <col min="9965" max="9970" width="1" style="98" customWidth="1"/>
    <col min="9971" max="9971" width="0.5" style="98" customWidth="1"/>
    <col min="9972" max="9972" width="31.25" style="98" customWidth="1"/>
    <col min="9973" max="9973" width="33.5" style="98" customWidth="1"/>
    <col min="9974" max="9974" width="2.625" style="98" customWidth="1"/>
    <col min="9975" max="9975" width="10.375" style="98" customWidth="1"/>
    <col min="9976" max="9976" width="10.875" style="98" customWidth="1"/>
    <col min="9977" max="9977" width="14.25" style="98" customWidth="1"/>
    <col min="9978" max="9978" width="10.875" style="98" customWidth="1"/>
    <col min="9979" max="9985" width="0" style="98" hidden="1" customWidth="1"/>
    <col min="9986" max="9986" width="9" style="98"/>
    <col min="9987" max="9987" width="10.875" style="98" bestFit="1" customWidth="1"/>
    <col min="9988" max="10218" width="9" style="98"/>
    <col min="10219" max="10219" width="1.5" style="98" customWidth="1"/>
    <col min="10220" max="10220" width="0.75" style="98" customWidth="1"/>
    <col min="10221" max="10226" width="1" style="98" customWidth="1"/>
    <col min="10227" max="10227" width="0.5" style="98" customWidth="1"/>
    <col min="10228" max="10228" width="31.25" style="98" customWidth="1"/>
    <col min="10229" max="10229" width="33.5" style="98" customWidth="1"/>
    <col min="10230" max="10230" width="2.625" style="98" customWidth="1"/>
    <col min="10231" max="10231" width="10.375" style="98" customWidth="1"/>
    <col min="10232" max="10232" width="10.875" style="98" customWidth="1"/>
    <col min="10233" max="10233" width="14.25" style="98" customWidth="1"/>
    <col min="10234" max="10234" width="10.875" style="98" customWidth="1"/>
    <col min="10235" max="10241" width="0" style="98" hidden="1" customWidth="1"/>
    <col min="10242" max="10242" width="9" style="98"/>
    <col min="10243" max="10243" width="10.875" style="98" bestFit="1" customWidth="1"/>
    <col min="10244" max="10474" width="9" style="98"/>
    <col min="10475" max="10475" width="1.5" style="98" customWidth="1"/>
    <col min="10476" max="10476" width="0.75" style="98" customWidth="1"/>
    <col min="10477" max="10482" width="1" style="98" customWidth="1"/>
    <col min="10483" max="10483" width="0.5" style="98" customWidth="1"/>
    <col min="10484" max="10484" width="31.25" style="98" customWidth="1"/>
    <col min="10485" max="10485" width="33.5" style="98" customWidth="1"/>
    <col min="10486" max="10486" width="2.625" style="98" customWidth="1"/>
    <col min="10487" max="10487" width="10.375" style="98" customWidth="1"/>
    <col min="10488" max="10488" width="10.875" style="98" customWidth="1"/>
    <col min="10489" max="10489" width="14.25" style="98" customWidth="1"/>
    <col min="10490" max="10490" width="10.875" style="98" customWidth="1"/>
    <col min="10491" max="10497" width="0" style="98" hidden="1" customWidth="1"/>
    <col min="10498" max="10498" width="9" style="98"/>
    <col min="10499" max="10499" width="10.875" style="98" bestFit="1" customWidth="1"/>
    <col min="10500" max="10730" width="9" style="98"/>
    <col min="10731" max="10731" width="1.5" style="98" customWidth="1"/>
    <col min="10732" max="10732" width="0.75" style="98" customWidth="1"/>
    <col min="10733" max="10738" width="1" style="98" customWidth="1"/>
    <col min="10739" max="10739" width="0.5" style="98" customWidth="1"/>
    <col min="10740" max="10740" width="31.25" style="98" customWidth="1"/>
    <col min="10741" max="10741" width="33.5" style="98" customWidth="1"/>
    <col min="10742" max="10742" width="2.625" style="98" customWidth="1"/>
    <col min="10743" max="10743" width="10.375" style="98" customWidth="1"/>
    <col min="10744" max="10744" width="10.875" style="98" customWidth="1"/>
    <col min="10745" max="10745" width="14.25" style="98" customWidth="1"/>
    <col min="10746" max="10746" width="10.875" style="98" customWidth="1"/>
    <col min="10747" max="10753" width="0" style="98" hidden="1" customWidth="1"/>
    <col min="10754" max="10754" width="9" style="98"/>
    <col min="10755" max="10755" width="10.875" style="98" bestFit="1" customWidth="1"/>
    <col min="10756" max="10986" width="9" style="98"/>
    <col min="10987" max="10987" width="1.5" style="98" customWidth="1"/>
    <col min="10988" max="10988" width="0.75" style="98" customWidth="1"/>
    <col min="10989" max="10994" width="1" style="98" customWidth="1"/>
    <col min="10995" max="10995" width="0.5" style="98" customWidth="1"/>
    <col min="10996" max="10996" width="31.25" style="98" customWidth="1"/>
    <col min="10997" max="10997" width="33.5" style="98" customWidth="1"/>
    <col min="10998" max="10998" width="2.625" style="98" customWidth="1"/>
    <col min="10999" max="10999" width="10.375" style="98" customWidth="1"/>
    <col min="11000" max="11000" width="10.875" style="98" customWidth="1"/>
    <col min="11001" max="11001" width="14.25" style="98" customWidth="1"/>
    <col min="11002" max="11002" width="10.875" style="98" customWidth="1"/>
    <col min="11003" max="11009" width="0" style="98" hidden="1" customWidth="1"/>
    <col min="11010" max="11010" width="9" style="98"/>
    <col min="11011" max="11011" width="10.875" style="98" bestFit="1" customWidth="1"/>
    <col min="11012" max="11242" width="9" style="98"/>
    <col min="11243" max="11243" width="1.5" style="98" customWidth="1"/>
    <col min="11244" max="11244" width="0.75" style="98" customWidth="1"/>
    <col min="11245" max="11250" width="1" style="98" customWidth="1"/>
    <col min="11251" max="11251" width="0.5" style="98" customWidth="1"/>
    <col min="11252" max="11252" width="31.25" style="98" customWidth="1"/>
    <col min="11253" max="11253" width="33.5" style="98" customWidth="1"/>
    <col min="11254" max="11254" width="2.625" style="98" customWidth="1"/>
    <col min="11255" max="11255" width="10.375" style="98" customWidth="1"/>
    <col min="11256" max="11256" width="10.875" style="98" customWidth="1"/>
    <col min="11257" max="11257" width="14.25" style="98" customWidth="1"/>
    <col min="11258" max="11258" width="10.875" style="98" customWidth="1"/>
    <col min="11259" max="11265" width="0" style="98" hidden="1" customWidth="1"/>
    <col min="11266" max="11266" width="9" style="98"/>
    <col min="11267" max="11267" width="10.875" style="98" bestFit="1" customWidth="1"/>
    <col min="11268" max="11498" width="9" style="98"/>
    <col min="11499" max="11499" width="1.5" style="98" customWidth="1"/>
    <col min="11500" max="11500" width="0.75" style="98" customWidth="1"/>
    <col min="11501" max="11506" width="1" style="98" customWidth="1"/>
    <col min="11507" max="11507" width="0.5" style="98" customWidth="1"/>
    <col min="11508" max="11508" width="31.25" style="98" customWidth="1"/>
    <col min="11509" max="11509" width="33.5" style="98" customWidth="1"/>
    <col min="11510" max="11510" width="2.625" style="98" customWidth="1"/>
    <col min="11511" max="11511" width="10.375" style="98" customWidth="1"/>
    <col min="11512" max="11512" width="10.875" style="98" customWidth="1"/>
    <col min="11513" max="11513" width="14.25" style="98" customWidth="1"/>
    <col min="11514" max="11514" width="10.875" style="98" customWidth="1"/>
    <col min="11515" max="11521" width="0" style="98" hidden="1" customWidth="1"/>
    <col min="11522" max="11522" width="9" style="98"/>
    <col min="11523" max="11523" width="10.875" style="98" bestFit="1" customWidth="1"/>
    <col min="11524" max="11754" width="9" style="98"/>
    <col min="11755" max="11755" width="1.5" style="98" customWidth="1"/>
    <col min="11756" max="11756" width="0.75" style="98" customWidth="1"/>
    <col min="11757" max="11762" width="1" style="98" customWidth="1"/>
    <col min="11763" max="11763" width="0.5" style="98" customWidth="1"/>
    <col min="11764" max="11764" width="31.25" style="98" customWidth="1"/>
    <col min="11765" max="11765" width="33.5" style="98" customWidth="1"/>
    <col min="11766" max="11766" width="2.625" style="98" customWidth="1"/>
    <col min="11767" max="11767" width="10.375" style="98" customWidth="1"/>
    <col min="11768" max="11768" width="10.875" style="98" customWidth="1"/>
    <col min="11769" max="11769" width="14.25" style="98" customWidth="1"/>
    <col min="11770" max="11770" width="10.875" style="98" customWidth="1"/>
    <col min="11771" max="11777" width="0" style="98" hidden="1" customWidth="1"/>
    <col min="11778" max="11778" width="9" style="98"/>
    <col min="11779" max="11779" width="10.875" style="98" bestFit="1" customWidth="1"/>
    <col min="11780" max="12010" width="9" style="98"/>
    <col min="12011" max="12011" width="1.5" style="98" customWidth="1"/>
    <col min="12012" max="12012" width="0.75" style="98" customWidth="1"/>
    <col min="12013" max="12018" width="1" style="98" customWidth="1"/>
    <col min="12019" max="12019" width="0.5" style="98" customWidth="1"/>
    <col min="12020" max="12020" width="31.25" style="98" customWidth="1"/>
    <col min="12021" max="12021" width="33.5" style="98" customWidth="1"/>
    <col min="12022" max="12022" width="2.625" style="98" customWidth="1"/>
    <col min="12023" max="12023" width="10.375" style="98" customWidth="1"/>
    <col min="12024" max="12024" width="10.875" style="98" customWidth="1"/>
    <col min="12025" max="12025" width="14.25" style="98" customWidth="1"/>
    <col min="12026" max="12026" width="10.875" style="98" customWidth="1"/>
    <col min="12027" max="12033" width="0" style="98" hidden="1" customWidth="1"/>
    <col min="12034" max="12034" width="9" style="98"/>
    <col min="12035" max="12035" width="10.875" style="98" bestFit="1" customWidth="1"/>
    <col min="12036" max="12266" width="9" style="98"/>
    <col min="12267" max="12267" width="1.5" style="98" customWidth="1"/>
    <col min="12268" max="12268" width="0.75" style="98" customWidth="1"/>
    <col min="12269" max="12274" width="1" style="98" customWidth="1"/>
    <col min="12275" max="12275" width="0.5" style="98" customWidth="1"/>
    <col min="12276" max="12276" width="31.25" style="98" customWidth="1"/>
    <col min="12277" max="12277" width="33.5" style="98" customWidth="1"/>
    <col min="12278" max="12278" width="2.625" style="98" customWidth="1"/>
    <col min="12279" max="12279" width="10.375" style="98" customWidth="1"/>
    <col min="12280" max="12280" width="10.875" style="98" customWidth="1"/>
    <col min="12281" max="12281" width="14.25" style="98" customWidth="1"/>
    <col min="12282" max="12282" width="10.875" style="98" customWidth="1"/>
    <col min="12283" max="12289" width="0" style="98" hidden="1" customWidth="1"/>
    <col min="12290" max="12290" width="9" style="98"/>
    <col min="12291" max="12291" width="10.875" style="98" bestFit="1" customWidth="1"/>
    <col min="12292" max="12522" width="9" style="98"/>
    <col min="12523" max="12523" width="1.5" style="98" customWidth="1"/>
    <col min="12524" max="12524" width="0.75" style="98" customWidth="1"/>
    <col min="12525" max="12530" width="1" style="98" customWidth="1"/>
    <col min="12531" max="12531" width="0.5" style="98" customWidth="1"/>
    <col min="12532" max="12532" width="31.25" style="98" customWidth="1"/>
    <col min="12533" max="12533" width="33.5" style="98" customWidth="1"/>
    <col min="12534" max="12534" width="2.625" style="98" customWidth="1"/>
    <col min="12535" max="12535" width="10.375" style="98" customWidth="1"/>
    <col min="12536" max="12536" width="10.875" style="98" customWidth="1"/>
    <col min="12537" max="12537" width="14.25" style="98" customWidth="1"/>
    <col min="12538" max="12538" width="10.875" style="98" customWidth="1"/>
    <col min="12539" max="12545" width="0" style="98" hidden="1" customWidth="1"/>
    <col min="12546" max="12546" width="9" style="98"/>
    <col min="12547" max="12547" width="10.875" style="98" bestFit="1" customWidth="1"/>
    <col min="12548" max="12778" width="9" style="98"/>
    <col min="12779" max="12779" width="1.5" style="98" customWidth="1"/>
    <col min="12780" max="12780" width="0.75" style="98" customWidth="1"/>
    <col min="12781" max="12786" width="1" style="98" customWidth="1"/>
    <col min="12787" max="12787" width="0.5" style="98" customWidth="1"/>
    <col min="12788" max="12788" width="31.25" style="98" customWidth="1"/>
    <col min="12789" max="12789" width="33.5" style="98" customWidth="1"/>
    <col min="12790" max="12790" width="2.625" style="98" customWidth="1"/>
    <col min="12791" max="12791" width="10.375" style="98" customWidth="1"/>
    <col min="12792" max="12792" width="10.875" style="98" customWidth="1"/>
    <col min="12793" max="12793" width="14.25" style="98" customWidth="1"/>
    <col min="12794" max="12794" width="10.875" style="98" customWidth="1"/>
    <col min="12795" max="12801" width="0" style="98" hidden="1" customWidth="1"/>
    <col min="12802" max="12802" width="9" style="98"/>
    <col min="12803" max="12803" width="10.875" style="98" bestFit="1" customWidth="1"/>
    <col min="12804" max="13034" width="9" style="98"/>
    <col min="13035" max="13035" width="1.5" style="98" customWidth="1"/>
    <col min="13036" max="13036" width="0.75" style="98" customWidth="1"/>
    <col min="13037" max="13042" width="1" style="98" customWidth="1"/>
    <col min="13043" max="13043" width="0.5" style="98" customWidth="1"/>
    <col min="13044" max="13044" width="31.25" style="98" customWidth="1"/>
    <col min="13045" max="13045" width="33.5" style="98" customWidth="1"/>
    <col min="13046" max="13046" width="2.625" style="98" customWidth="1"/>
    <col min="13047" max="13047" width="10.375" style="98" customWidth="1"/>
    <col min="13048" max="13048" width="10.875" style="98" customWidth="1"/>
    <col min="13049" max="13049" width="14.25" style="98" customWidth="1"/>
    <col min="13050" max="13050" width="10.875" style="98" customWidth="1"/>
    <col min="13051" max="13057" width="0" style="98" hidden="1" customWidth="1"/>
    <col min="13058" max="13058" width="9" style="98"/>
    <col min="13059" max="13059" width="10.875" style="98" bestFit="1" customWidth="1"/>
    <col min="13060" max="13290" width="9" style="98"/>
    <col min="13291" max="13291" width="1.5" style="98" customWidth="1"/>
    <col min="13292" max="13292" width="0.75" style="98" customWidth="1"/>
    <col min="13293" max="13298" width="1" style="98" customWidth="1"/>
    <col min="13299" max="13299" width="0.5" style="98" customWidth="1"/>
    <col min="13300" max="13300" width="31.25" style="98" customWidth="1"/>
    <col min="13301" max="13301" width="33.5" style="98" customWidth="1"/>
    <col min="13302" max="13302" width="2.625" style="98" customWidth="1"/>
    <col min="13303" max="13303" width="10.375" style="98" customWidth="1"/>
    <col min="13304" max="13304" width="10.875" style="98" customWidth="1"/>
    <col min="13305" max="13305" width="14.25" style="98" customWidth="1"/>
    <col min="13306" max="13306" width="10.875" style="98" customWidth="1"/>
    <col min="13307" max="13313" width="0" style="98" hidden="1" customWidth="1"/>
    <col min="13314" max="13314" width="9" style="98"/>
    <col min="13315" max="13315" width="10.875" style="98" bestFit="1" customWidth="1"/>
    <col min="13316" max="13546" width="9" style="98"/>
    <col min="13547" max="13547" width="1.5" style="98" customWidth="1"/>
    <col min="13548" max="13548" width="0.75" style="98" customWidth="1"/>
    <col min="13549" max="13554" width="1" style="98" customWidth="1"/>
    <col min="13555" max="13555" width="0.5" style="98" customWidth="1"/>
    <col min="13556" max="13556" width="31.25" style="98" customWidth="1"/>
    <col min="13557" max="13557" width="33.5" style="98" customWidth="1"/>
    <col min="13558" max="13558" width="2.625" style="98" customWidth="1"/>
    <col min="13559" max="13559" width="10.375" style="98" customWidth="1"/>
    <col min="13560" max="13560" width="10.875" style="98" customWidth="1"/>
    <col min="13561" max="13561" width="14.25" style="98" customWidth="1"/>
    <col min="13562" max="13562" width="10.875" style="98" customWidth="1"/>
    <col min="13563" max="13569" width="0" style="98" hidden="1" customWidth="1"/>
    <col min="13570" max="13570" width="9" style="98"/>
    <col min="13571" max="13571" width="10.875" style="98" bestFit="1" customWidth="1"/>
    <col min="13572" max="13802" width="9" style="98"/>
    <col min="13803" max="13803" width="1.5" style="98" customWidth="1"/>
    <col min="13804" max="13804" width="0.75" style="98" customWidth="1"/>
    <col min="13805" max="13810" width="1" style="98" customWidth="1"/>
    <col min="13811" max="13811" width="0.5" style="98" customWidth="1"/>
    <col min="13812" max="13812" width="31.25" style="98" customWidth="1"/>
    <col min="13813" max="13813" width="33.5" style="98" customWidth="1"/>
    <col min="13814" max="13814" width="2.625" style="98" customWidth="1"/>
    <col min="13815" max="13815" width="10.375" style="98" customWidth="1"/>
    <col min="13816" max="13816" width="10.875" style="98" customWidth="1"/>
    <col min="13817" max="13817" width="14.25" style="98" customWidth="1"/>
    <col min="13818" max="13818" width="10.875" style="98" customWidth="1"/>
    <col min="13819" max="13825" width="0" style="98" hidden="1" customWidth="1"/>
    <col min="13826" max="13826" width="9" style="98"/>
    <col min="13827" max="13827" width="10.875" style="98" bestFit="1" customWidth="1"/>
    <col min="13828" max="14058" width="9" style="98"/>
    <col min="14059" max="14059" width="1.5" style="98" customWidth="1"/>
    <col min="14060" max="14060" width="0.75" style="98" customWidth="1"/>
    <col min="14061" max="14066" width="1" style="98" customWidth="1"/>
    <col min="14067" max="14067" width="0.5" style="98" customWidth="1"/>
    <col min="14068" max="14068" width="31.25" style="98" customWidth="1"/>
    <col min="14069" max="14069" width="33.5" style="98" customWidth="1"/>
    <col min="14070" max="14070" width="2.625" style="98" customWidth="1"/>
    <col min="14071" max="14071" width="10.375" style="98" customWidth="1"/>
    <col min="14072" max="14072" width="10.875" style="98" customWidth="1"/>
    <col min="14073" max="14073" width="14.25" style="98" customWidth="1"/>
    <col min="14074" max="14074" width="10.875" style="98" customWidth="1"/>
    <col min="14075" max="14081" width="0" style="98" hidden="1" customWidth="1"/>
    <col min="14082" max="14082" width="9" style="98"/>
    <col min="14083" max="14083" width="10.875" style="98" bestFit="1" customWidth="1"/>
    <col min="14084" max="14314" width="9" style="98"/>
    <col min="14315" max="14315" width="1.5" style="98" customWidth="1"/>
    <col min="14316" max="14316" width="0.75" style="98" customWidth="1"/>
    <col min="14317" max="14322" width="1" style="98" customWidth="1"/>
    <col min="14323" max="14323" width="0.5" style="98" customWidth="1"/>
    <col min="14324" max="14324" width="31.25" style="98" customWidth="1"/>
    <col min="14325" max="14325" width="33.5" style="98" customWidth="1"/>
    <col min="14326" max="14326" width="2.625" style="98" customWidth="1"/>
    <col min="14327" max="14327" width="10.375" style="98" customWidth="1"/>
    <col min="14328" max="14328" width="10.875" style="98" customWidth="1"/>
    <col min="14329" max="14329" width="14.25" style="98" customWidth="1"/>
    <col min="14330" max="14330" width="10.875" style="98" customWidth="1"/>
    <col min="14331" max="14337" width="0" style="98" hidden="1" customWidth="1"/>
    <col min="14338" max="14338" width="9" style="98"/>
    <col min="14339" max="14339" width="10.875" style="98" bestFit="1" customWidth="1"/>
    <col min="14340" max="14570" width="9" style="98"/>
    <col min="14571" max="14571" width="1.5" style="98" customWidth="1"/>
    <col min="14572" max="14572" width="0.75" style="98" customWidth="1"/>
    <col min="14573" max="14578" width="1" style="98" customWidth="1"/>
    <col min="14579" max="14579" width="0.5" style="98" customWidth="1"/>
    <col min="14580" max="14580" width="31.25" style="98" customWidth="1"/>
    <col min="14581" max="14581" width="33.5" style="98" customWidth="1"/>
    <col min="14582" max="14582" width="2.625" style="98" customWidth="1"/>
    <col min="14583" max="14583" width="10.375" style="98" customWidth="1"/>
    <col min="14584" max="14584" width="10.875" style="98" customWidth="1"/>
    <col min="14585" max="14585" width="14.25" style="98" customWidth="1"/>
    <col min="14586" max="14586" width="10.875" style="98" customWidth="1"/>
    <col min="14587" max="14593" width="0" style="98" hidden="1" customWidth="1"/>
    <col min="14594" max="14594" width="9" style="98"/>
    <col min="14595" max="14595" width="10.875" style="98" bestFit="1" customWidth="1"/>
    <col min="14596" max="14826" width="9" style="98"/>
    <col min="14827" max="14827" width="1.5" style="98" customWidth="1"/>
    <col min="14828" max="14828" width="0.75" style="98" customWidth="1"/>
    <col min="14829" max="14834" width="1" style="98" customWidth="1"/>
    <col min="14835" max="14835" width="0.5" style="98" customWidth="1"/>
    <col min="14836" max="14836" width="31.25" style="98" customWidth="1"/>
    <col min="14837" max="14837" width="33.5" style="98" customWidth="1"/>
    <col min="14838" max="14838" width="2.625" style="98" customWidth="1"/>
    <col min="14839" max="14839" width="10.375" style="98" customWidth="1"/>
    <col min="14840" max="14840" width="10.875" style="98" customWidth="1"/>
    <col min="14841" max="14841" width="14.25" style="98" customWidth="1"/>
    <col min="14842" max="14842" width="10.875" style="98" customWidth="1"/>
    <col min="14843" max="14849" width="0" style="98" hidden="1" customWidth="1"/>
    <col min="14850" max="14850" width="9" style="98"/>
    <col min="14851" max="14851" width="10.875" style="98" bestFit="1" customWidth="1"/>
    <col min="14852" max="15082" width="9" style="98"/>
    <col min="15083" max="15083" width="1.5" style="98" customWidth="1"/>
    <col min="15084" max="15084" width="0.75" style="98" customWidth="1"/>
    <col min="15085" max="15090" width="1" style="98" customWidth="1"/>
    <col min="15091" max="15091" width="0.5" style="98" customWidth="1"/>
    <col min="15092" max="15092" width="31.25" style="98" customWidth="1"/>
    <col min="15093" max="15093" width="33.5" style="98" customWidth="1"/>
    <col min="15094" max="15094" width="2.625" style="98" customWidth="1"/>
    <col min="15095" max="15095" width="10.375" style="98" customWidth="1"/>
    <col min="15096" max="15096" width="10.875" style="98" customWidth="1"/>
    <col min="15097" max="15097" width="14.25" style="98" customWidth="1"/>
    <col min="15098" max="15098" width="10.875" style="98" customWidth="1"/>
    <col min="15099" max="15105" width="0" style="98" hidden="1" customWidth="1"/>
    <col min="15106" max="15106" width="9" style="98"/>
    <col min="15107" max="15107" width="10.875" style="98" bestFit="1" customWidth="1"/>
    <col min="15108" max="15338" width="9" style="98"/>
    <col min="15339" max="15339" width="1.5" style="98" customWidth="1"/>
    <col min="15340" max="15340" width="0.75" style="98" customWidth="1"/>
    <col min="15341" max="15346" width="1" style="98" customWidth="1"/>
    <col min="15347" max="15347" width="0.5" style="98" customWidth="1"/>
    <col min="15348" max="15348" width="31.25" style="98" customWidth="1"/>
    <col min="15349" max="15349" width="33.5" style="98" customWidth="1"/>
    <col min="15350" max="15350" width="2.625" style="98" customWidth="1"/>
    <col min="15351" max="15351" width="10.375" style="98" customWidth="1"/>
    <col min="15352" max="15352" width="10.875" style="98" customWidth="1"/>
    <col min="15353" max="15353" width="14.25" style="98" customWidth="1"/>
    <col min="15354" max="15354" width="10.875" style="98" customWidth="1"/>
    <col min="15355" max="15361" width="0" style="98" hidden="1" customWidth="1"/>
    <col min="15362" max="15362" width="9" style="98"/>
    <col min="15363" max="15363" width="10.875" style="98" bestFit="1" customWidth="1"/>
    <col min="15364" max="15594" width="9" style="98"/>
    <col min="15595" max="15595" width="1.5" style="98" customWidth="1"/>
    <col min="15596" max="15596" width="0.75" style="98" customWidth="1"/>
    <col min="15597" max="15602" width="1" style="98" customWidth="1"/>
    <col min="15603" max="15603" width="0.5" style="98" customWidth="1"/>
    <col min="15604" max="15604" width="31.25" style="98" customWidth="1"/>
    <col min="15605" max="15605" width="33.5" style="98" customWidth="1"/>
    <col min="15606" max="15606" width="2.625" style="98" customWidth="1"/>
    <col min="15607" max="15607" width="10.375" style="98" customWidth="1"/>
    <col min="15608" max="15608" width="10.875" style="98" customWidth="1"/>
    <col min="15609" max="15609" width="14.25" style="98" customWidth="1"/>
    <col min="15610" max="15610" width="10.875" style="98" customWidth="1"/>
    <col min="15611" max="15617" width="0" style="98" hidden="1" customWidth="1"/>
    <col min="15618" max="15618" width="9" style="98"/>
    <col min="15619" max="15619" width="10.875" style="98" bestFit="1" customWidth="1"/>
    <col min="15620" max="15850" width="9" style="98"/>
    <col min="15851" max="15851" width="1.5" style="98" customWidth="1"/>
    <col min="15852" max="15852" width="0.75" style="98" customWidth="1"/>
    <col min="15853" max="15858" width="1" style="98" customWidth="1"/>
    <col min="15859" max="15859" width="0.5" style="98" customWidth="1"/>
    <col min="15860" max="15860" width="31.25" style="98" customWidth="1"/>
    <col min="15861" max="15861" width="33.5" style="98" customWidth="1"/>
    <col min="15862" max="15862" width="2.625" style="98" customWidth="1"/>
    <col min="15863" max="15863" width="10.375" style="98" customWidth="1"/>
    <col min="15864" max="15864" width="10.875" style="98" customWidth="1"/>
    <col min="15865" max="15865" width="14.25" style="98" customWidth="1"/>
    <col min="15866" max="15866" width="10.875" style="98" customWidth="1"/>
    <col min="15867" max="15873" width="0" style="98" hidden="1" customWidth="1"/>
    <col min="15874" max="15874" width="9" style="98"/>
    <col min="15875" max="15875" width="10.875" style="98" bestFit="1" customWidth="1"/>
    <col min="15876" max="16106" width="9" style="98"/>
    <col min="16107" max="16107" width="1.5" style="98" customWidth="1"/>
    <col min="16108" max="16108" width="0.75" style="98" customWidth="1"/>
    <col min="16109" max="16114" width="1" style="98" customWidth="1"/>
    <col min="16115" max="16115" width="0.5" style="98" customWidth="1"/>
    <col min="16116" max="16116" width="31.25" style="98" customWidth="1"/>
    <col min="16117" max="16117" width="33.5" style="98" customWidth="1"/>
    <col min="16118" max="16118" width="2.625" style="98" customWidth="1"/>
    <col min="16119" max="16119" width="10.375" style="98" customWidth="1"/>
    <col min="16120" max="16120" width="10.875" style="98" customWidth="1"/>
    <col min="16121" max="16121" width="14.25" style="98" customWidth="1"/>
    <col min="16122" max="16122" width="10.875" style="98" customWidth="1"/>
    <col min="16123" max="16129" width="0" style="98" hidden="1" customWidth="1"/>
    <col min="16130" max="16130" width="9" style="98"/>
    <col min="16131" max="16131" width="10.875" style="98" bestFit="1" customWidth="1"/>
    <col min="16132" max="16384" width="9" style="98"/>
  </cols>
  <sheetData>
    <row r="1" spans="1:17" ht="20.100000000000001" customHeight="1">
      <c r="A1" s="498" t="s">
        <v>1152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247"/>
      <c r="Q1" s="160"/>
    </row>
    <row r="2" spans="1:17" s="82" customFormat="1" ht="5.0999999999999996" customHeight="1">
      <c r="A2" s="258"/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7"/>
      <c r="O2" s="257"/>
      <c r="P2" s="259"/>
      <c r="Q2" s="257"/>
    </row>
    <row r="3" spans="1:17" s="267" customFormat="1" ht="20.100000000000001" customHeight="1">
      <c r="A3" s="499" t="s">
        <v>1151</v>
      </c>
      <c r="B3" s="499"/>
      <c r="C3" s="499"/>
      <c r="D3" s="499"/>
      <c r="E3" s="499"/>
      <c r="F3" s="499"/>
      <c r="G3" s="499"/>
      <c r="H3" s="499"/>
      <c r="I3" s="499"/>
      <c r="J3" s="499"/>
      <c r="K3" s="499"/>
      <c r="L3" s="499"/>
      <c r="M3" s="499"/>
      <c r="N3" s="500" t="s">
        <v>1991</v>
      </c>
      <c r="O3" s="500"/>
      <c r="P3" s="263"/>
      <c r="Q3" s="266"/>
    </row>
    <row r="4" spans="1:17" ht="20.100000000000001" customHeight="1">
      <c r="A4" s="399" t="s">
        <v>843</v>
      </c>
      <c r="B4" s="400"/>
      <c r="C4" s="400"/>
      <c r="D4" s="400"/>
      <c r="E4" s="400"/>
      <c r="F4" s="400"/>
      <c r="G4" s="400"/>
      <c r="H4" s="400"/>
      <c r="I4" s="400"/>
      <c r="J4" s="400"/>
      <c r="K4" s="400"/>
      <c r="L4" s="401"/>
      <c r="M4" s="398" t="s">
        <v>2</v>
      </c>
      <c r="N4" s="398" t="s">
        <v>3</v>
      </c>
      <c r="O4" s="398" t="s">
        <v>1195</v>
      </c>
      <c r="P4" s="182"/>
      <c r="Q4" s="392" t="s">
        <v>1194</v>
      </c>
    </row>
    <row r="5" spans="1:17" ht="20.100000000000001" customHeight="1">
      <c r="A5" s="394" t="s">
        <v>844</v>
      </c>
      <c r="B5" s="395"/>
      <c r="C5" s="395"/>
      <c r="D5" s="395"/>
      <c r="E5" s="395"/>
      <c r="F5" s="395"/>
      <c r="G5" s="395"/>
      <c r="H5" s="395"/>
      <c r="I5" s="395"/>
      <c r="J5" s="395"/>
      <c r="K5" s="395"/>
      <c r="L5" s="396"/>
      <c r="M5" s="396"/>
      <c r="N5" s="396"/>
      <c r="O5" s="396"/>
      <c r="P5" s="182"/>
      <c r="Q5" s="393"/>
    </row>
    <row r="6" spans="1:17" ht="20.100000000000001" customHeight="1">
      <c r="A6" s="399" t="s">
        <v>823</v>
      </c>
      <c r="B6" s="400"/>
      <c r="C6" s="400"/>
      <c r="D6" s="400"/>
      <c r="E6" s="400"/>
      <c r="F6" s="400"/>
      <c r="G6" s="400"/>
      <c r="H6" s="400"/>
      <c r="I6" s="400"/>
      <c r="J6" s="400"/>
      <c r="K6" s="400"/>
      <c r="L6" s="401"/>
      <c r="M6" s="83">
        <f t="shared" ref="M6:N7" si="0">+M7</f>
        <v>2397665</v>
      </c>
      <c r="N6" s="83">
        <f t="shared" si="0"/>
        <v>2441604</v>
      </c>
      <c r="O6" s="162">
        <f>+M6-N6</f>
        <v>-43939</v>
      </c>
      <c r="P6" s="183"/>
      <c r="Q6" s="83"/>
    </row>
    <row r="7" spans="1:17" ht="24.95" customHeight="1">
      <c r="A7" s="485" t="s">
        <v>845</v>
      </c>
      <c r="B7" s="475"/>
      <c r="C7" s="475"/>
      <c r="D7" s="475"/>
      <c r="E7" s="475" t="s">
        <v>847</v>
      </c>
      <c r="F7" s="475"/>
      <c r="G7" s="475"/>
      <c r="H7" s="475"/>
      <c r="I7" s="475"/>
      <c r="J7" s="475"/>
      <c r="K7" s="475"/>
      <c r="L7" s="476"/>
      <c r="M7" s="99">
        <f t="shared" si="0"/>
        <v>2397665</v>
      </c>
      <c r="N7" s="99">
        <f t="shared" si="0"/>
        <v>2441604</v>
      </c>
      <c r="O7" s="99">
        <f>+M7-N7</f>
        <v>-43939</v>
      </c>
      <c r="P7" s="176"/>
      <c r="Q7" s="102"/>
    </row>
    <row r="8" spans="1:17" ht="24.95" customHeight="1">
      <c r="A8" s="101"/>
      <c r="B8" s="475" t="s">
        <v>848</v>
      </c>
      <c r="C8" s="475"/>
      <c r="D8" s="475"/>
      <c r="E8" s="475"/>
      <c r="F8" s="475" t="s">
        <v>849</v>
      </c>
      <c r="G8" s="475"/>
      <c r="H8" s="475"/>
      <c r="I8" s="475"/>
      <c r="J8" s="475"/>
      <c r="K8" s="475"/>
      <c r="L8" s="476"/>
      <c r="M8" s="102">
        <f>+M9+M43+M51</f>
        <v>2397665</v>
      </c>
      <c r="N8" s="102">
        <f>+N43+N51+N9</f>
        <v>2441604</v>
      </c>
      <c r="O8" s="102">
        <f t="shared" ref="O8" si="1">+M8-N8</f>
        <v>-43939</v>
      </c>
      <c r="P8" s="177"/>
      <c r="Q8" s="102"/>
    </row>
    <row r="9" spans="1:17" ht="24.95" customHeight="1">
      <c r="A9" s="101"/>
      <c r="B9" s="103" t="s">
        <v>8</v>
      </c>
      <c r="C9" s="488" t="s">
        <v>870</v>
      </c>
      <c r="D9" s="489"/>
      <c r="E9" s="489"/>
      <c r="F9" s="489"/>
      <c r="G9" s="489" t="s">
        <v>871</v>
      </c>
      <c r="H9" s="489"/>
      <c r="I9" s="489"/>
      <c r="J9" s="489"/>
      <c r="K9" s="489"/>
      <c r="L9" s="490"/>
      <c r="M9" s="102">
        <f>+SUM(M10:M42)</f>
        <v>978065</v>
      </c>
      <c r="N9" s="102">
        <f>+SUM(N10:N42)</f>
        <v>1046004</v>
      </c>
      <c r="O9" s="102">
        <f>+SUM(O10:O42)</f>
        <v>-67939</v>
      </c>
      <c r="P9" s="177"/>
      <c r="Q9" s="102"/>
    </row>
    <row r="10" spans="1:17" s="93" customFormat="1" ht="24.95" customHeight="1">
      <c r="A10" s="88"/>
      <c r="B10" s="89"/>
      <c r="C10" s="104"/>
      <c r="D10" s="105"/>
      <c r="E10" s="481" t="s">
        <v>872</v>
      </c>
      <c r="F10" s="481"/>
      <c r="G10" s="481"/>
      <c r="H10" s="481"/>
      <c r="I10" s="391" t="s">
        <v>873</v>
      </c>
      <c r="J10" s="391"/>
      <c r="K10" s="391"/>
      <c r="L10" s="479"/>
      <c r="M10" s="91"/>
      <c r="N10" s="91"/>
      <c r="O10" s="163"/>
      <c r="P10" s="178"/>
      <c r="Q10" s="91"/>
    </row>
    <row r="11" spans="1:17" s="111" customFormat="1" ht="24.95" customHeight="1">
      <c r="A11" s="106"/>
      <c r="B11" s="107"/>
      <c r="C11" s="107"/>
      <c r="D11" s="241"/>
      <c r="E11" s="491" t="s">
        <v>874</v>
      </c>
      <c r="F11" s="492"/>
      <c r="G11" s="492"/>
      <c r="H11" s="492"/>
      <c r="I11" s="492"/>
      <c r="J11" s="492"/>
      <c r="K11" s="108"/>
      <c r="L11" s="249">
        <f>L13+L15+L17+L25+L29+L31+L33+L35+L37+L39+L41</f>
        <v>978065</v>
      </c>
      <c r="M11" s="110"/>
      <c r="N11" s="110"/>
      <c r="O11" s="110"/>
      <c r="P11" s="176"/>
      <c r="Q11" s="170"/>
    </row>
    <row r="12" spans="1:17" s="113" customFormat="1" ht="24.95" customHeight="1">
      <c r="A12" s="106"/>
      <c r="B12" s="107"/>
      <c r="C12" s="107"/>
      <c r="D12" s="241"/>
      <c r="E12" s="472" t="s">
        <v>875</v>
      </c>
      <c r="F12" s="473"/>
      <c r="G12" s="473"/>
      <c r="H12" s="473"/>
      <c r="I12" s="473"/>
      <c r="J12" s="474"/>
      <c r="K12" s="474"/>
      <c r="L12" s="109"/>
      <c r="M12" s="325"/>
      <c r="N12" s="326"/>
      <c r="O12" s="326"/>
      <c r="P12" s="332"/>
      <c r="Q12" s="333"/>
    </row>
    <row r="13" spans="1:17" s="113" customFormat="1" ht="24.95" customHeight="1">
      <c r="A13" s="106"/>
      <c r="B13" s="107"/>
      <c r="C13" s="107"/>
      <c r="D13" s="241"/>
      <c r="E13" s="472"/>
      <c r="F13" s="473"/>
      <c r="G13" s="473"/>
      <c r="H13" s="473"/>
      <c r="I13" s="473"/>
      <c r="J13" s="474" t="s">
        <v>1981</v>
      </c>
      <c r="K13" s="474"/>
      <c r="L13" s="109">
        <f>ROUNDDOWN(771000000*0.001,0)</f>
        <v>771000</v>
      </c>
      <c r="M13" s="325">
        <f>+L13</f>
        <v>771000</v>
      </c>
      <c r="N13" s="326">
        <v>751544</v>
      </c>
      <c r="O13" s="326">
        <f>+M13-N13</f>
        <v>19456</v>
      </c>
      <c r="P13" s="332"/>
      <c r="Q13" s="328" t="s">
        <v>1982</v>
      </c>
    </row>
    <row r="14" spans="1:17" s="113" customFormat="1" ht="24.95" customHeight="1">
      <c r="A14" s="106"/>
      <c r="B14" s="107"/>
      <c r="C14" s="107"/>
      <c r="D14" s="241"/>
      <c r="E14" s="472" t="s">
        <v>876</v>
      </c>
      <c r="F14" s="473"/>
      <c r="G14" s="473"/>
      <c r="H14" s="473"/>
      <c r="I14" s="473"/>
      <c r="J14" s="474"/>
      <c r="K14" s="474"/>
      <c r="L14" s="109"/>
      <c r="M14" s="325"/>
      <c r="N14" s="326"/>
      <c r="O14" s="326"/>
      <c r="P14" s="332"/>
      <c r="Q14" s="328"/>
    </row>
    <row r="15" spans="1:17" s="113" customFormat="1" ht="24.95" customHeight="1">
      <c r="A15" s="106"/>
      <c r="B15" s="107"/>
      <c r="C15" s="107"/>
      <c r="D15" s="241"/>
      <c r="E15" s="472"/>
      <c r="F15" s="473"/>
      <c r="G15" s="473"/>
      <c r="H15" s="473"/>
      <c r="I15" s="473"/>
      <c r="J15" s="474" t="s">
        <v>1212</v>
      </c>
      <c r="K15" s="474"/>
      <c r="L15" s="109">
        <f>ROUNDDOWN(46800000*1/1000,0)</f>
        <v>46800</v>
      </c>
      <c r="M15" s="325">
        <f>+L15</f>
        <v>46800</v>
      </c>
      <c r="N15" s="326">
        <v>47623</v>
      </c>
      <c r="O15" s="326">
        <f>+M15-N15</f>
        <v>-823</v>
      </c>
      <c r="P15" s="334"/>
      <c r="Q15" s="328" t="s">
        <v>1213</v>
      </c>
    </row>
    <row r="16" spans="1:17" s="113" customFormat="1" ht="24.95" customHeight="1">
      <c r="A16" s="106"/>
      <c r="B16" s="107"/>
      <c r="C16" s="107"/>
      <c r="D16" s="241"/>
      <c r="E16" s="472" t="s">
        <v>877</v>
      </c>
      <c r="F16" s="473"/>
      <c r="G16" s="473"/>
      <c r="H16" s="473"/>
      <c r="I16" s="473"/>
      <c r="J16" s="474"/>
      <c r="K16" s="474"/>
      <c r="L16" s="109"/>
      <c r="M16" s="325"/>
      <c r="N16" s="326"/>
      <c r="O16" s="326"/>
      <c r="P16" s="335"/>
      <c r="Q16" s="328"/>
    </row>
    <row r="17" spans="1:17" s="113" customFormat="1" ht="24.95" customHeight="1">
      <c r="A17" s="106"/>
      <c r="B17" s="107"/>
      <c r="C17" s="107"/>
      <c r="D17" s="241"/>
      <c r="E17" s="472"/>
      <c r="F17" s="473"/>
      <c r="G17" s="473"/>
      <c r="H17" s="473"/>
      <c r="I17" s="473"/>
      <c r="J17" s="474" t="s">
        <v>1214</v>
      </c>
      <c r="K17" s="474"/>
      <c r="L17" s="109">
        <f>ROUNDDOWN(17000000*0.001,0)</f>
        <v>17000</v>
      </c>
      <c r="M17" s="325">
        <f>+L17</f>
        <v>17000</v>
      </c>
      <c r="N17" s="326">
        <v>30962</v>
      </c>
      <c r="O17" s="326">
        <f>+M17-N17</f>
        <v>-13962</v>
      </c>
      <c r="P17" s="327"/>
      <c r="Q17" s="328" t="s">
        <v>1988</v>
      </c>
    </row>
    <row r="18" spans="1:17" s="118" customFormat="1" ht="24.95" customHeight="1">
      <c r="A18" s="133"/>
      <c r="B18" s="135"/>
      <c r="C18" s="135"/>
      <c r="D18" s="164"/>
      <c r="E18" s="472" t="s">
        <v>878</v>
      </c>
      <c r="F18" s="473"/>
      <c r="G18" s="473"/>
      <c r="H18" s="473"/>
      <c r="I18" s="473"/>
      <c r="J18" s="474"/>
      <c r="K18" s="474"/>
      <c r="L18" s="109"/>
      <c r="M18" s="325"/>
      <c r="N18" s="326"/>
      <c r="O18" s="326"/>
      <c r="P18" s="327"/>
      <c r="Q18" s="328"/>
    </row>
    <row r="19" spans="1:17" s="118" customFormat="1" ht="24.95" customHeight="1">
      <c r="A19" s="133"/>
      <c r="B19" s="135"/>
      <c r="C19" s="135"/>
      <c r="D19" s="164"/>
      <c r="E19" s="472"/>
      <c r="F19" s="473"/>
      <c r="G19" s="473"/>
      <c r="H19" s="473"/>
      <c r="I19" s="473"/>
      <c r="J19" s="474"/>
      <c r="K19" s="474"/>
      <c r="L19" s="109"/>
      <c r="M19" s="325">
        <f>+L19</f>
        <v>0</v>
      </c>
      <c r="N19" s="326">
        <v>21065</v>
      </c>
      <c r="O19" s="326">
        <f>+M19-N19</f>
        <v>-21065</v>
      </c>
      <c r="P19" s="327"/>
      <c r="Q19" s="328" t="s">
        <v>1989</v>
      </c>
    </row>
    <row r="20" spans="1:17" s="118" customFormat="1" ht="24.95" customHeight="1">
      <c r="A20" s="133"/>
      <c r="B20" s="135"/>
      <c r="C20" s="135"/>
      <c r="D20" s="164"/>
      <c r="E20" s="472" t="s">
        <v>879</v>
      </c>
      <c r="F20" s="473"/>
      <c r="G20" s="473"/>
      <c r="H20" s="473"/>
      <c r="I20" s="473"/>
      <c r="J20" s="474"/>
      <c r="K20" s="474"/>
      <c r="L20" s="109"/>
      <c r="M20" s="325"/>
      <c r="N20" s="326"/>
      <c r="O20" s="326"/>
      <c r="P20" s="327"/>
      <c r="Q20" s="328"/>
    </row>
    <row r="21" spans="1:17" s="118" customFormat="1" ht="24.95" customHeight="1">
      <c r="A21" s="133"/>
      <c r="B21" s="135"/>
      <c r="C21" s="135"/>
      <c r="D21" s="164"/>
      <c r="E21" s="472"/>
      <c r="F21" s="473"/>
      <c r="G21" s="473"/>
      <c r="H21" s="473"/>
      <c r="I21" s="473"/>
      <c r="J21" s="474"/>
      <c r="K21" s="474"/>
      <c r="L21" s="109"/>
      <c r="M21" s="325">
        <f>+L21</f>
        <v>0</v>
      </c>
      <c r="N21" s="326">
        <v>20520</v>
      </c>
      <c r="O21" s="326">
        <f>+M21-N21</f>
        <v>-20520</v>
      </c>
      <c r="P21" s="327"/>
      <c r="Q21" s="328" t="s">
        <v>1989</v>
      </c>
    </row>
    <row r="22" spans="1:17" s="118" customFormat="1" ht="24.95" customHeight="1">
      <c r="A22" s="133"/>
      <c r="B22" s="135"/>
      <c r="C22" s="135"/>
      <c r="D22" s="164"/>
      <c r="E22" s="472" t="s">
        <v>880</v>
      </c>
      <c r="F22" s="473"/>
      <c r="G22" s="473"/>
      <c r="H22" s="473"/>
      <c r="I22" s="473"/>
      <c r="J22" s="474"/>
      <c r="K22" s="474"/>
      <c r="L22" s="109"/>
      <c r="M22" s="325"/>
      <c r="N22" s="326"/>
      <c r="O22" s="326"/>
      <c r="P22" s="327"/>
      <c r="Q22" s="328"/>
    </row>
    <row r="23" spans="1:17" s="118" customFormat="1" ht="24.95" customHeight="1">
      <c r="A23" s="133"/>
      <c r="B23" s="135"/>
      <c r="C23" s="135"/>
      <c r="D23" s="164"/>
      <c r="E23" s="472"/>
      <c r="F23" s="473"/>
      <c r="G23" s="473"/>
      <c r="H23" s="473"/>
      <c r="I23" s="473"/>
      <c r="J23" s="474"/>
      <c r="K23" s="474"/>
      <c r="L23" s="109"/>
      <c r="M23" s="325">
        <f>+L23</f>
        <v>0</v>
      </c>
      <c r="N23" s="326">
        <v>19027</v>
      </c>
      <c r="O23" s="326">
        <f>+M23-N23</f>
        <v>-19027</v>
      </c>
      <c r="P23" s="327"/>
      <c r="Q23" s="328" t="s">
        <v>1989</v>
      </c>
    </row>
    <row r="24" spans="1:17" s="113" customFormat="1" ht="24.95" customHeight="1">
      <c r="A24" s="106"/>
      <c r="B24" s="107"/>
      <c r="C24" s="107"/>
      <c r="D24" s="241"/>
      <c r="E24" s="472" t="s">
        <v>881</v>
      </c>
      <c r="F24" s="473"/>
      <c r="G24" s="473"/>
      <c r="H24" s="473"/>
      <c r="I24" s="473"/>
      <c r="J24" s="474"/>
      <c r="K24" s="474"/>
      <c r="L24" s="109"/>
      <c r="M24" s="325"/>
      <c r="N24" s="326"/>
      <c r="O24" s="326"/>
      <c r="P24" s="327"/>
      <c r="Q24" s="328"/>
    </row>
    <row r="25" spans="1:17" s="113" customFormat="1" ht="24.95" customHeight="1">
      <c r="A25" s="106"/>
      <c r="B25" s="107"/>
      <c r="C25" s="107"/>
      <c r="D25" s="241"/>
      <c r="E25" s="472"/>
      <c r="F25" s="473"/>
      <c r="G25" s="473"/>
      <c r="H25" s="473"/>
      <c r="I25" s="473"/>
      <c r="J25" s="474" t="s">
        <v>1217</v>
      </c>
      <c r="K25" s="474"/>
      <c r="L25" s="109">
        <f>ROUNDDOWN(19600000*0.001,0)</f>
        <v>19600</v>
      </c>
      <c r="M25" s="325">
        <f>+L25</f>
        <v>19600</v>
      </c>
      <c r="N25" s="326">
        <v>21485</v>
      </c>
      <c r="O25" s="326">
        <f>+M25-N25</f>
        <v>-1885</v>
      </c>
      <c r="P25" s="327"/>
      <c r="Q25" s="328" t="s">
        <v>1213</v>
      </c>
    </row>
    <row r="26" spans="1:17" s="118" customFormat="1" ht="24.95" customHeight="1">
      <c r="A26" s="133"/>
      <c r="B26" s="135"/>
      <c r="C26" s="135"/>
      <c r="D26" s="164"/>
      <c r="E26" s="472" t="s">
        <v>882</v>
      </c>
      <c r="F26" s="473"/>
      <c r="G26" s="473"/>
      <c r="H26" s="473"/>
      <c r="I26" s="473"/>
      <c r="J26" s="474"/>
      <c r="K26" s="474"/>
      <c r="L26" s="109"/>
      <c r="M26" s="325"/>
      <c r="N26" s="326"/>
      <c r="O26" s="326"/>
      <c r="P26" s="327"/>
      <c r="Q26" s="328"/>
    </row>
    <row r="27" spans="1:17" s="118" customFormat="1" ht="24.95" customHeight="1">
      <c r="A27" s="133"/>
      <c r="B27" s="135"/>
      <c r="C27" s="135"/>
      <c r="D27" s="164"/>
      <c r="E27" s="472"/>
      <c r="F27" s="473"/>
      <c r="G27" s="473"/>
      <c r="H27" s="473"/>
      <c r="I27" s="473"/>
      <c r="J27" s="474"/>
      <c r="K27" s="474"/>
      <c r="L27" s="109"/>
      <c r="M27" s="325">
        <f>+L27</f>
        <v>0</v>
      </c>
      <c r="N27" s="326">
        <v>5941</v>
      </c>
      <c r="O27" s="326">
        <f>+M27-N27</f>
        <v>-5941</v>
      </c>
      <c r="P27" s="327"/>
      <c r="Q27" s="328" t="s">
        <v>1218</v>
      </c>
    </row>
    <row r="28" spans="1:17" s="113" customFormat="1" ht="24.95" customHeight="1">
      <c r="A28" s="106"/>
      <c r="B28" s="107"/>
      <c r="C28" s="107"/>
      <c r="D28" s="241"/>
      <c r="E28" s="472" t="s">
        <v>883</v>
      </c>
      <c r="F28" s="473"/>
      <c r="G28" s="473"/>
      <c r="H28" s="473"/>
      <c r="I28" s="473"/>
      <c r="J28" s="474"/>
      <c r="K28" s="474"/>
      <c r="L28" s="109"/>
      <c r="M28" s="325"/>
      <c r="N28" s="326"/>
      <c r="O28" s="326"/>
      <c r="P28" s="327"/>
      <c r="Q28" s="328"/>
    </row>
    <row r="29" spans="1:17" s="113" customFormat="1" ht="24.95" customHeight="1">
      <c r="A29" s="106"/>
      <c r="B29" s="107"/>
      <c r="C29" s="107"/>
      <c r="D29" s="241"/>
      <c r="E29" s="472"/>
      <c r="F29" s="473"/>
      <c r="G29" s="473"/>
      <c r="H29" s="473"/>
      <c r="I29" s="473"/>
      <c r="J29" s="474" t="s">
        <v>1219</v>
      </c>
      <c r="K29" s="474"/>
      <c r="L29" s="109">
        <f>ROUNDDOWN(33000000*0.001,0)</f>
        <v>33000</v>
      </c>
      <c r="M29" s="325">
        <f>+L29</f>
        <v>33000</v>
      </c>
      <c r="N29" s="326">
        <v>30811</v>
      </c>
      <c r="O29" s="326">
        <f>+M29-N29</f>
        <v>2189</v>
      </c>
      <c r="P29" s="327"/>
      <c r="Q29" s="328" t="s">
        <v>1220</v>
      </c>
    </row>
    <row r="30" spans="1:17" s="113" customFormat="1" ht="24.95" customHeight="1">
      <c r="A30" s="106"/>
      <c r="B30" s="107"/>
      <c r="C30" s="107"/>
      <c r="D30" s="241"/>
      <c r="E30" s="472" t="s">
        <v>1968</v>
      </c>
      <c r="F30" s="473"/>
      <c r="G30" s="473"/>
      <c r="H30" s="473"/>
      <c r="I30" s="473"/>
      <c r="J30" s="474"/>
      <c r="K30" s="474"/>
      <c r="L30" s="109"/>
      <c r="M30" s="325"/>
      <c r="N30" s="326"/>
      <c r="O30" s="326"/>
      <c r="P30" s="327"/>
      <c r="Q30" s="328"/>
    </row>
    <row r="31" spans="1:17" s="113" customFormat="1" ht="24.95" customHeight="1">
      <c r="A31" s="106"/>
      <c r="B31" s="107"/>
      <c r="C31" s="107"/>
      <c r="D31" s="241"/>
      <c r="E31" s="472"/>
      <c r="F31" s="473"/>
      <c r="G31" s="473"/>
      <c r="H31" s="473"/>
      <c r="I31" s="473"/>
      <c r="J31" s="474" t="s">
        <v>1983</v>
      </c>
      <c r="K31" s="474"/>
      <c r="L31" s="109">
        <f>ROUNDDOWN(4925000*0.001,0)</f>
        <v>4925</v>
      </c>
      <c r="M31" s="325">
        <f>+L31</f>
        <v>4925</v>
      </c>
      <c r="N31" s="326">
        <v>19680</v>
      </c>
      <c r="O31" s="326">
        <f>+M31-N31</f>
        <v>-14755</v>
      </c>
      <c r="P31" s="327"/>
      <c r="Q31" s="328" t="s">
        <v>1984</v>
      </c>
    </row>
    <row r="32" spans="1:17" s="113" customFormat="1" ht="24.95" customHeight="1">
      <c r="A32" s="106"/>
      <c r="B32" s="107"/>
      <c r="C32" s="107"/>
      <c r="D32" s="241"/>
      <c r="E32" s="472" t="s">
        <v>884</v>
      </c>
      <c r="F32" s="473"/>
      <c r="G32" s="473"/>
      <c r="H32" s="473"/>
      <c r="I32" s="473"/>
      <c r="J32" s="474"/>
      <c r="K32" s="474"/>
      <c r="L32" s="109"/>
      <c r="M32" s="325"/>
      <c r="N32" s="326"/>
      <c r="O32" s="326"/>
      <c r="P32" s="327"/>
      <c r="Q32" s="328"/>
    </row>
    <row r="33" spans="1:17" s="113" customFormat="1" ht="24.95" customHeight="1">
      <c r="A33" s="106"/>
      <c r="B33" s="107"/>
      <c r="C33" s="107"/>
      <c r="D33" s="241"/>
      <c r="E33" s="472"/>
      <c r="F33" s="473"/>
      <c r="G33" s="473"/>
      <c r="H33" s="473"/>
      <c r="I33" s="473"/>
      <c r="J33" s="474" t="s">
        <v>1223</v>
      </c>
      <c r="K33" s="474"/>
      <c r="L33" s="109">
        <f>ROUNDDOWN(20900000*1/1000,0)</f>
        <v>20900</v>
      </c>
      <c r="M33" s="325">
        <f>+L33</f>
        <v>20900</v>
      </c>
      <c r="N33" s="326">
        <v>20750</v>
      </c>
      <c r="O33" s="326">
        <f>+M33-N33</f>
        <v>150</v>
      </c>
      <c r="P33" s="327"/>
      <c r="Q33" s="328" t="s">
        <v>1224</v>
      </c>
    </row>
    <row r="34" spans="1:17" s="113" customFormat="1" ht="24.95" customHeight="1">
      <c r="A34" s="106"/>
      <c r="B34" s="107"/>
      <c r="C34" s="107"/>
      <c r="D34" s="241"/>
      <c r="E34" s="472" t="s">
        <v>885</v>
      </c>
      <c r="F34" s="473"/>
      <c r="G34" s="473"/>
      <c r="H34" s="473"/>
      <c r="I34" s="473"/>
      <c r="J34" s="474"/>
      <c r="K34" s="474"/>
      <c r="L34" s="109"/>
      <c r="M34" s="325"/>
      <c r="N34" s="326"/>
      <c r="O34" s="326"/>
      <c r="P34" s="327"/>
      <c r="Q34" s="328"/>
    </row>
    <row r="35" spans="1:17" s="113" customFormat="1" ht="24.95" customHeight="1">
      <c r="A35" s="106"/>
      <c r="B35" s="107"/>
      <c r="C35" s="107"/>
      <c r="D35" s="241"/>
      <c r="E35" s="472"/>
      <c r="F35" s="473"/>
      <c r="G35" s="473"/>
      <c r="H35" s="473"/>
      <c r="I35" s="473"/>
      <c r="J35" s="474" t="s">
        <v>1225</v>
      </c>
      <c r="K35" s="474"/>
      <c r="L35" s="109">
        <f>ROUNDDOWN(11040000*0.001,0)</f>
        <v>11040</v>
      </c>
      <c r="M35" s="325">
        <f>+L35</f>
        <v>11040</v>
      </c>
      <c r="N35" s="326">
        <v>11525</v>
      </c>
      <c r="O35" s="326">
        <f>+M35-N35</f>
        <v>-485</v>
      </c>
      <c r="P35" s="327"/>
      <c r="Q35" s="328" t="s">
        <v>1224</v>
      </c>
    </row>
    <row r="36" spans="1:17" s="113" customFormat="1" ht="24.95" customHeight="1">
      <c r="A36" s="106"/>
      <c r="B36" s="107"/>
      <c r="C36" s="107"/>
      <c r="D36" s="241"/>
      <c r="E36" s="472" t="s">
        <v>886</v>
      </c>
      <c r="F36" s="473"/>
      <c r="G36" s="473"/>
      <c r="H36" s="473"/>
      <c r="I36" s="473"/>
      <c r="J36" s="474"/>
      <c r="K36" s="474"/>
      <c r="L36" s="109"/>
      <c r="M36" s="325"/>
      <c r="N36" s="326"/>
      <c r="O36" s="326"/>
      <c r="P36" s="327"/>
      <c r="Q36" s="328"/>
    </row>
    <row r="37" spans="1:17" s="113" customFormat="1" ht="24.95" customHeight="1">
      <c r="A37" s="106"/>
      <c r="B37" s="107"/>
      <c r="C37" s="107"/>
      <c r="D37" s="241"/>
      <c r="E37" s="472"/>
      <c r="F37" s="473"/>
      <c r="G37" s="473"/>
      <c r="H37" s="473"/>
      <c r="I37" s="473"/>
      <c r="J37" s="474" t="s">
        <v>1985</v>
      </c>
      <c r="K37" s="474"/>
      <c r="L37" s="109">
        <f>ROUNDDOWN(6400000*1/1000,0)</f>
        <v>6400</v>
      </c>
      <c r="M37" s="325">
        <f>+L37</f>
        <v>6400</v>
      </c>
      <c r="N37" s="326">
        <v>6889</v>
      </c>
      <c r="O37" s="326">
        <f>+M37-N37</f>
        <v>-489</v>
      </c>
      <c r="P37" s="327"/>
      <c r="Q37" s="328" t="s">
        <v>1224</v>
      </c>
    </row>
    <row r="38" spans="1:17" s="118" customFormat="1" ht="24.95" customHeight="1">
      <c r="A38" s="133"/>
      <c r="B38" s="135"/>
      <c r="C38" s="135"/>
      <c r="D38" s="164"/>
      <c r="E38" s="472" t="s">
        <v>887</v>
      </c>
      <c r="F38" s="473"/>
      <c r="G38" s="473"/>
      <c r="H38" s="473"/>
      <c r="I38" s="473"/>
      <c r="J38" s="474"/>
      <c r="K38" s="474"/>
      <c r="L38" s="109"/>
      <c r="M38" s="325"/>
      <c r="N38" s="326"/>
      <c r="O38" s="326"/>
      <c r="P38" s="327"/>
      <c r="Q38" s="328"/>
    </row>
    <row r="39" spans="1:17" s="118" customFormat="1" ht="24.95" customHeight="1">
      <c r="A39" s="133"/>
      <c r="B39" s="135"/>
      <c r="C39" s="135"/>
      <c r="D39" s="164"/>
      <c r="E39" s="472"/>
      <c r="F39" s="473"/>
      <c r="G39" s="473"/>
      <c r="H39" s="473"/>
      <c r="I39" s="473"/>
      <c r="J39" s="474" t="s">
        <v>1986</v>
      </c>
      <c r="K39" s="474"/>
      <c r="L39" s="109">
        <f>ROUNDDOWN(39600000*1/1000,0)</f>
        <v>39600</v>
      </c>
      <c r="M39" s="325">
        <f>+L39</f>
        <v>39600</v>
      </c>
      <c r="N39" s="326">
        <v>38182</v>
      </c>
      <c r="O39" s="326">
        <f>+M39-N39</f>
        <v>1418</v>
      </c>
      <c r="P39" s="327"/>
      <c r="Q39" s="328" t="s">
        <v>1987</v>
      </c>
    </row>
    <row r="40" spans="1:17" s="113" customFormat="1" ht="24.95" customHeight="1">
      <c r="A40" s="106"/>
      <c r="B40" s="107"/>
      <c r="C40" s="107"/>
      <c r="D40" s="241"/>
      <c r="E40" s="472" t="s">
        <v>1229</v>
      </c>
      <c r="F40" s="473"/>
      <c r="G40" s="473"/>
      <c r="H40" s="473"/>
      <c r="I40" s="473"/>
      <c r="J40" s="474"/>
      <c r="K40" s="474"/>
      <c r="L40" s="109"/>
      <c r="M40" s="325"/>
      <c r="N40" s="326"/>
      <c r="O40" s="326"/>
      <c r="P40" s="327"/>
      <c r="Q40" s="328"/>
    </row>
    <row r="41" spans="1:17" s="113" customFormat="1" ht="24.95" customHeight="1">
      <c r="A41" s="106"/>
      <c r="B41" s="107"/>
      <c r="C41" s="107"/>
      <c r="D41" s="241"/>
      <c r="E41" s="472"/>
      <c r="F41" s="473"/>
      <c r="G41" s="473"/>
      <c r="H41" s="473"/>
      <c r="I41" s="473"/>
      <c r="J41" s="474" t="s">
        <v>1230</v>
      </c>
      <c r="K41" s="474"/>
      <c r="L41" s="109">
        <f>ROUNDDOWN(7800000*1/1000,0)</f>
        <v>7800</v>
      </c>
      <c r="M41" s="325">
        <f>+L41</f>
        <v>7800</v>
      </c>
      <c r="N41" s="326">
        <v>0</v>
      </c>
      <c r="O41" s="326">
        <f>+M41-N41</f>
        <v>7800</v>
      </c>
      <c r="P41" s="327"/>
      <c r="Q41" s="328" t="s">
        <v>1220</v>
      </c>
    </row>
    <row r="42" spans="1:17" s="118" customFormat="1" ht="24.95" customHeight="1">
      <c r="A42" s="133"/>
      <c r="B42" s="133"/>
      <c r="C42" s="114"/>
      <c r="D42" s="115"/>
      <c r="E42" s="467"/>
      <c r="F42" s="468"/>
      <c r="G42" s="468"/>
      <c r="H42" s="468"/>
      <c r="I42" s="468"/>
      <c r="J42" s="469"/>
      <c r="K42" s="469"/>
      <c r="L42" s="116"/>
      <c r="M42" s="117"/>
      <c r="N42" s="117"/>
      <c r="O42" s="117"/>
      <c r="P42" s="179"/>
      <c r="Q42" s="185"/>
    </row>
    <row r="43" spans="1:17" ht="24.95" customHeight="1">
      <c r="A43" s="101"/>
      <c r="B43" s="103" t="s">
        <v>8</v>
      </c>
      <c r="C43" s="475" t="s">
        <v>888</v>
      </c>
      <c r="D43" s="475"/>
      <c r="E43" s="475"/>
      <c r="F43" s="475"/>
      <c r="G43" s="475" t="s">
        <v>889</v>
      </c>
      <c r="H43" s="475"/>
      <c r="I43" s="475"/>
      <c r="J43" s="475"/>
      <c r="K43" s="475"/>
      <c r="L43" s="476"/>
      <c r="M43" s="102">
        <f>+SUM(M44:M50)</f>
        <v>135600</v>
      </c>
      <c r="N43" s="102">
        <f>+SUM(N44:N50)</f>
        <v>135600</v>
      </c>
      <c r="O43" s="102">
        <f>+SUM(O44:O50)</f>
        <v>0</v>
      </c>
      <c r="P43" s="179"/>
      <c r="Q43" s="167"/>
    </row>
    <row r="44" spans="1:17" s="93" customFormat="1" ht="24.95" customHeight="1">
      <c r="A44" s="88"/>
      <c r="B44" s="89"/>
      <c r="C44" s="104"/>
      <c r="D44" s="105"/>
      <c r="E44" s="481" t="s">
        <v>890</v>
      </c>
      <c r="F44" s="481"/>
      <c r="G44" s="481"/>
      <c r="H44" s="481"/>
      <c r="I44" s="391" t="s">
        <v>1231</v>
      </c>
      <c r="J44" s="391"/>
      <c r="K44" s="391"/>
      <c r="L44" s="479"/>
      <c r="M44" s="91"/>
      <c r="N44" s="91"/>
      <c r="O44" s="163"/>
      <c r="P44" s="179"/>
      <c r="Q44" s="168"/>
    </row>
    <row r="45" spans="1:17" s="111" customFormat="1" ht="24.95" customHeight="1">
      <c r="A45" s="106"/>
      <c r="B45" s="107"/>
      <c r="C45" s="107"/>
      <c r="D45" s="241"/>
      <c r="E45" s="495" t="s">
        <v>891</v>
      </c>
      <c r="F45" s="496"/>
      <c r="G45" s="496"/>
      <c r="H45" s="496"/>
      <c r="I45" s="496"/>
      <c r="J45" s="496"/>
      <c r="K45" s="248"/>
      <c r="L45" s="250">
        <f>+L47+L49</f>
        <v>135600</v>
      </c>
      <c r="M45" s="110"/>
      <c r="N45" s="110"/>
      <c r="O45" s="110"/>
      <c r="P45" s="179"/>
      <c r="Q45" s="184"/>
    </row>
    <row r="46" spans="1:17" s="113" customFormat="1" ht="24.95" customHeight="1">
      <c r="A46" s="106"/>
      <c r="B46" s="107"/>
      <c r="C46" s="107"/>
      <c r="D46" s="241"/>
      <c r="E46" s="493" t="s">
        <v>892</v>
      </c>
      <c r="F46" s="494"/>
      <c r="G46" s="494"/>
      <c r="H46" s="494"/>
      <c r="I46" s="494"/>
      <c r="J46" s="497"/>
      <c r="K46" s="497"/>
      <c r="L46" s="210"/>
      <c r="M46" s="210"/>
      <c r="N46" s="110"/>
      <c r="O46" s="110"/>
      <c r="P46" s="179"/>
      <c r="Q46" s="184"/>
    </row>
    <row r="47" spans="1:17" s="113" customFormat="1" ht="24.95" customHeight="1">
      <c r="A47" s="106"/>
      <c r="B47" s="107"/>
      <c r="C47" s="107"/>
      <c r="D47" s="241"/>
      <c r="E47" s="493"/>
      <c r="F47" s="494"/>
      <c r="G47" s="494"/>
      <c r="H47" s="494"/>
      <c r="I47" s="494"/>
      <c r="J47" s="480" t="s">
        <v>1990</v>
      </c>
      <c r="K47" s="480"/>
      <c r="L47" s="210">
        <f>ROUNDDOWN(10000000*0.012,0)</f>
        <v>120000</v>
      </c>
      <c r="M47" s="330">
        <f>+L47</f>
        <v>120000</v>
      </c>
      <c r="N47" s="329">
        <v>120000</v>
      </c>
      <c r="O47" s="329">
        <f>+M47-N47</f>
        <v>0</v>
      </c>
      <c r="P47" s="327"/>
      <c r="Q47" s="331"/>
    </row>
    <row r="48" spans="1:17" s="113" customFormat="1" ht="24.95" customHeight="1">
      <c r="A48" s="106"/>
      <c r="B48" s="107"/>
      <c r="C48" s="107"/>
      <c r="D48" s="241"/>
      <c r="E48" s="472" t="s">
        <v>893</v>
      </c>
      <c r="F48" s="473"/>
      <c r="G48" s="473"/>
      <c r="H48" s="473"/>
      <c r="I48" s="473"/>
      <c r="J48" s="474"/>
      <c r="K48" s="474"/>
      <c r="L48" s="109"/>
      <c r="M48" s="325"/>
      <c r="N48" s="326"/>
      <c r="O48" s="326"/>
      <c r="P48" s="327"/>
      <c r="Q48" s="328"/>
    </row>
    <row r="49" spans="1:17" s="113" customFormat="1" ht="24.95" customHeight="1">
      <c r="A49" s="106"/>
      <c r="B49" s="107"/>
      <c r="C49" s="107"/>
      <c r="D49" s="241"/>
      <c r="E49" s="472"/>
      <c r="F49" s="473"/>
      <c r="G49" s="473"/>
      <c r="H49" s="473"/>
      <c r="I49" s="473"/>
      <c r="J49" s="474" t="s">
        <v>894</v>
      </c>
      <c r="K49" s="474"/>
      <c r="L49" s="109">
        <f>ROUNDDOWN(1300000*0.012,0)</f>
        <v>15600</v>
      </c>
      <c r="M49" s="325">
        <f>+L49</f>
        <v>15600</v>
      </c>
      <c r="N49" s="326">
        <v>15600</v>
      </c>
      <c r="O49" s="326">
        <f>+M49-N49</f>
        <v>0</v>
      </c>
      <c r="P49" s="327"/>
      <c r="Q49" s="328"/>
    </row>
    <row r="50" spans="1:17" s="118" customFormat="1" ht="24.95" customHeight="1">
      <c r="A50" s="133"/>
      <c r="B50" s="133"/>
      <c r="C50" s="114"/>
      <c r="D50" s="115"/>
      <c r="E50" s="467"/>
      <c r="F50" s="468"/>
      <c r="G50" s="468"/>
      <c r="H50" s="468"/>
      <c r="I50" s="468"/>
      <c r="J50" s="469"/>
      <c r="K50" s="469"/>
      <c r="L50" s="116"/>
      <c r="M50" s="117"/>
      <c r="N50" s="117"/>
      <c r="O50" s="117"/>
      <c r="P50" s="179"/>
      <c r="Q50" s="185"/>
    </row>
    <row r="51" spans="1:17" ht="24.95" customHeight="1">
      <c r="A51" s="101"/>
      <c r="B51" s="103" t="s">
        <v>8</v>
      </c>
      <c r="C51" s="475" t="s">
        <v>895</v>
      </c>
      <c r="D51" s="475"/>
      <c r="E51" s="475"/>
      <c r="F51" s="475"/>
      <c r="G51" s="475" t="s">
        <v>896</v>
      </c>
      <c r="H51" s="475"/>
      <c r="I51" s="475"/>
      <c r="J51" s="475"/>
      <c r="K51" s="475"/>
      <c r="L51" s="476"/>
      <c r="M51" s="102">
        <f>+SUM(M52:M57)</f>
        <v>1284000</v>
      </c>
      <c r="N51" s="102">
        <f>+SUM(N52:N57)</f>
        <v>1260000</v>
      </c>
      <c r="O51" s="102">
        <f>+SUM(O52:O57)</f>
        <v>24000</v>
      </c>
      <c r="P51" s="179"/>
      <c r="Q51" s="167"/>
    </row>
    <row r="52" spans="1:17" s="93" customFormat="1" ht="24.95" customHeight="1">
      <c r="A52" s="88"/>
      <c r="B52" s="89"/>
      <c r="C52" s="104"/>
      <c r="D52" s="105"/>
      <c r="E52" s="477" t="s">
        <v>1969</v>
      </c>
      <c r="F52" s="478"/>
      <c r="G52" s="478"/>
      <c r="H52" s="478"/>
      <c r="I52" s="391" t="s">
        <v>1234</v>
      </c>
      <c r="J52" s="391"/>
      <c r="K52" s="391"/>
      <c r="L52" s="479"/>
      <c r="M52" s="91"/>
      <c r="N52" s="91"/>
      <c r="O52" s="163"/>
      <c r="P52" s="179"/>
      <c r="Q52" s="168"/>
    </row>
    <row r="53" spans="1:17" s="111" customFormat="1" ht="24.95" customHeight="1">
      <c r="A53" s="106"/>
      <c r="B53" s="107"/>
      <c r="C53" s="107"/>
      <c r="D53" s="241"/>
      <c r="E53" s="491" t="s">
        <v>897</v>
      </c>
      <c r="F53" s="492"/>
      <c r="G53" s="492"/>
      <c r="H53" s="492"/>
      <c r="I53" s="492"/>
      <c r="J53" s="492"/>
      <c r="K53" s="108"/>
      <c r="L53" s="109"/>
      <c r="M53" s="110"/>
      <c r="N53" s="110"/>
      <c r="O53" s="110"/>
      <c r="P53" s="179"/>
      <c r="Q53" s="184"/>
    </row>
    <row r="54" spans="1:17" s="113" customFormat="1" ht="24.95" customHeight="1">
      <c r="A54" s="106"/>
      <c r="B54" s="107"/>
      <c r="C54" s="107"/>
      <c r="D54" s="241"/>
      <c r="E54" s="472"/>
      <c r="F54" s="473"/>
      <c r="G54" s="473"/>
      <c r="H54" s="473"/>
      <c r="I54" s="473"/>
      <c r="J54" s="474" t="s">
        <v>1235</v>
      </c>
      <c r="K54" s="474"/>
      <c r="L54" s="109">
        <f>ROUNDDOWN(86000000*0.012,0)</f>
        <v>1032000</v>
      </c>
      <c r="M54" s="325">
        <f>+L54</f>
        <v>1032000</v>
      </c>
      <c r="N54" s="326">
        <v>1020000</v>
      </c>
      <c r="O54" s="326">
        <f>+M54-N54</f>
        <v>12000</v>
      </c>
      <c r="P54" s="327"/>
      <c r="Q54" s="328" t="s">
        <v>1236</v>
      </c>
    </row>
    <row r="55" spans="1:17" s="118" customFormat="1" ht="24.95" customHeight="1">
      <c r="A55" s="133"/>
      <c r="B55" s="133"/>
      <c r="C55" s="135"/>
      <c r="D55" s="136"/>
      <c r="E55" s="491" t="s">
        <v>898</v>
      </c>
      <c r="F55" s="492"/>
      <c r="G55" s="492"/>
      <c r="H55" s="492"/>
      <c r="I55" s="492"/>
      <c r="J55" s="492"/>
      <c r="K55" s="108"/>
      <c r="L55" s="109"/>
      <c r="M55" s="329"/>
      <c r="N55" s="329"/>
      <c r="O55" s="329"/>
      <c r="P55" s="327"/>
      <c r="Q55" s="328"/>
    </row>
    <row r="56" spans="1:17" s="93" customFormat="1" ht="24.95" customHeight="1">
      <c r="A56" s="88"/>
      <c r="B56" s="89"/>
      <c r="C56" s="104"/>
      <c r="D56" s="134"/>
      <c r="E56" s="472"/>
      <c r="F56" s="473"/>
      <c r="G56" s="473"/>
      <c r="H56" s="473"/>
      <c r="I56" s="473"/>
      <c r="J56" s="474" t="s">
        <v>1237</v>
      </c>
      <c r="K56" s="474"/>
      <c r="L56" s="109">
        <f>ROUNDDOWN(21000000*0.012,0)</f>
        <v>252000</v>
      </c>
      <c r="M56" s="325">
        <f>+L56</f>
        <v>252000</v>
      </c>
      <c r="N56" s="326">
        <v>240000</v>
      </c>
      <c r="O56" s="326">
        <f>+M56-N56</f>
        <v>12000</v>
      </c>
      <c r="P56" s="327"/>
      <c r="Q56" s="328" t="s">
        <v>1236</v>
      </c>
    </row>
    <row r="57" spans="1:17" s="113" customFormat="1" ht="20.100000000000001" customHeight="1">
      <c r="A57" s="125"/>
      <c r="B57" s="126"/>
      <c r="C57" s="114"/>
      <c r="D57" s="115"/>
      <c r="E57" s="467"/>
      <c r="F57" s="468"/>
      <c r="G57" s="468"/>
      <c r="H57" s="468"/>
      <c r="I57" s="468"/>
      <c r="J57" s="469"/>
      <c r="K57" s="469"/>
      <c r="L57" s="116"/>
      <c r="M57" s="116"/>
      <c r="N57" s="117"/>
      <c r="O57" s="117"/>
      <c r="P57" s="179"/>
      <c r="Q57" s="185"/>
    </row>
    <row r="58" spans="1:17" ht="7.5" customHeight="1">
      <c r="M58" s="119"/>
      <c r="N58" s="119"/>
      <c r="O58" s="165"/>
      <c r="P58" s="179"/>
      <c r="Q58" s="119"/>
    </row>
    <row r="59" spans="1:17" ht="20.100000000000001" customHeight="1">
      <c r="M59" s="119"/>
      <c r="N59" s="119"/>
      <c r="O59" s="165"/>
      <c r="P59" s="179"/>
      <c r="Q59" s="119"/>
    </row>
    <row r="60" spans="1:17" ht="20.100000000000001" customHeight="1">
      <c r="M60" s="119"/>
      <c r="N60" s="119"/>
      <c r="O60" s="165"/>
      <c r="P60" s="179"/>
      <c r="Q60" s="119"/>
    </row>
    <row r="61" spans="1:17" ht="20.100000000000001" customHeight="1">
      <c r="M61" s="119"/>
      <c r="N61" s="119"/>
      <c r="O61" s="165"/>
      <c r="P61" s="179"/>
      <c r="Q61" s="119"/>
    </row>
    <row r="62" spans="1:17" ht="20.100000000000001" customHeight="1">
      <c r="M62" s="119"/>
      <c r="N62" s="119"/>
      <c r="O62" s="165"/>
      <c r="P62" s="179"/>
      <c r="Q62" s="119"/>
    </row>
    <row r="63" spans="1:17" ht="20.100000000000001" customHeight="1">
      <c r="M63" s="119"/>
      <c r="N63" s="119"/>
      <c r="O63" s="165"/>
      <c r="P63" s="179"/>
      <c r="Q63" s="119"/>
    </row>
    <row r="64" spans="1:17" ht="20.100000000000001" customHeight="1">
      <c r="M64" s="119"/>
      <c r="N64" s="119"/>
      <c r="O64" s="165"/>
      <c r="P64" s="179"/>
      <c r="Q64" s="119"/>
    </row>
    <row r="65" spans="13:17" ht="20.100000000000001" customHeight="1">
      <c r="M65" s="119"/>
      <c r="N65" s="119"/>
      <c r="O65" s="165"/>
      <c r="P65" s="179"/>
      <c r="Q65" s="119"/>
    </row>
    <row r="66" spans="13:17" ht="20.100000000000001" customHeight="1">
      <c r="M66" s="119"/>
      <c r="N66" s="119"/>
      <c r="O66" s="165"/>
      <c r="P66" s="179"/>
      <c r="Q66" s="119"/>
    </row>
    <row r="67" spans="13:17" ht="20.100000000000001" customHeight="1">
      <c r="M67" s="119"/>
      <c r="N67" s="119"/>
      <c r="O67" s="165"/>
      <c r="P67" s="179"/>
      <c r="Q67" s="119"/>
    </row>
    <row r="68" spans="13:17" ht="20.100000000000001" customHeight="1">
      <c r="M68" s="119"/>
      <c r="N68" s="119"/>
      <c r="O68" s="165"/>
      <c r="P68" s="179"/>
      <c r="Q68" s="119"/>
    </row>
    <row r="69" spans="13:17" ht="20.100000000000001" customHeight="1">
      <c r="M69" s="119"/>
      <c r="N69" s="119"/>
      <c r="O69" s="165"/>
      <c r="P69" s="179"/>
      <c r="Q69" s="119"/>
    </row>
    <row r="70" spans="13:17" ht="20.100000000000001" customHeight="1">
      <c r="M70" s="119"/>
      <c r="N70" s="119"/>
      <c r="O70" s="165"/>
      <c r="P70" s="179"/>
      <c r="Q70" s="119"/>
    </row>
    <row r="71" spans="13:17" ht="20.100000000000001" customHeight="1">
      <c r="M71" s="119"/>
      <c r="N71" s="119"/>
      <c r="O71" s="165"/>
      <c r="P71" s="179"/>
      <c r="Q71" s="119"/>
    </row>
    <row r="72" spans="13:17" ht="20.100000000000001" customHeight="1">
      <c r="M72" s="119"/>
      <c r="N72" s="119"/>
      <c r="O72" s="165"/>
      <c r="P72" s="179"/>
      <c r="Q72" s="119"/>
    </row>
    <row r="73" spans="13:17" ht="20.100000000000001" customHeight="1">
      <c r="M73" s="119"/>
      <c r="N73" s="119"/>
      <c r="O73" s="165"/>
      <c r="P73" s="179"/>
      <c r="Q73" s="119"/>
    </row>
    <row r="74" spans="13:17" ht="20.100000000000001" customHeight="1">
      <c r="M74" s="119"/>
      <c r="N74" s="119"/>
      <c r="O74" s="165"/>
      <c r="P74" s="179"/>
      <c r="Q74" s="119"/>
    </row>
    <row r="75" spans="13:17" ht="20.100000000000001" customHeight="1">
      <c r="M75" s="119"/>
      <c r="N75" s="119"/>
      <c r="O75" s="165"/>
      <c r="P75" s="179"/>
      <c r="Q75" s="119"/>
    </row>
    <row r="76" spans="13:17" ht="20.100000000000001" customHeight="1">
      <c r="M76" s="119"/>
      <c r="N76" s="119"/>
      <c r="O76" s="165"/>
      <c r="P76" s="179"/>
      <c r="Q76" s="119"/>
    </row>
    <row r="77" spans="13:17" ht="20.100000000000001" customHeight="1">
      <c r="M77" s="119"/>
      <c r="N77" s="119"/>
      <c r="O77" s="165"/>
      <c r="P77" s="179"/>
      <c r="Q77" s="119"/>
    </row>
    <row r="78" spans="13:17" ht="20.100000000000001" customHeight="1">
      <c r="M78" s="119"/>
      <c r="N78" s="119"/>
      <c r="O78" s="165"/>
      <c r="P78" s="179"/>
      <c r="Q78" s="119"/>
    </row>
    <row r="79" spans="13:17" ht="20.100000000000001" customHeight="1">
      <c r="M79" s="119"/>
      <c r="N79" s="119"/>
      <c r="O79" s="165"/>
      <c r="P79" s="179"/>
      <c r="Q79" s="119"/>
    </row>
    <row r="80" spans="13:17" ht="20.100000000000001" customHeight="1">
      <c r="M80" s="119"/>
      <c r="N80" s="119"/>
      <c r="O80" s="165"/>
      <c r="P80" s="179"/>
      <c r="Q80" s="119"/>
    </row>
    <row r="81" spans="13:17" ht="20.100000000000001" customHeight="1">
      <c r="M81" s="119"/>
      <c r="N81" s="119"/>
      <c r="O81" s="165"/>
      <c r="P81" s="179"/>
      <c r="Q81" s="119"/>
    </row>
    <row r="82" spans="13:17" ht="20.100000000000001" customHeight="1">
      <c r="M82" s="119"/>
      <c r="N82" s="119"/>
      <c r="O82" s="165"/>
      <c r="P82" s="179"/>
      <c r="Q82" s="119"/>
    </row>
    <row r="83" spans="13:17" ht="20.100000000000001" customHeight="1">
      <c r="M83" s="119"/>
      <c r="N83" s="119"/>
      <c r="O83" s="165"/>
      <c r="P83" s="179"/>
      <c r="Q83" s="119"/>
    </row>
    <row r="84" spans="13:17" ht="20.100000000000001" customHeight="1">
      <c r="M84" s="119"/>
      <c r="N84" s="119"/>
      <c r="O84" s="165"/>
      <c r="P84" s="179"/>
      <c r="Q84" s="119"/>
    </row>
    <row r="85" spans="13:17" ht="20.100000000000001" customHeight="1">
      <c r="M85" s="119"/>
      <c r="N85" s="119"/>
      <c r="O85" s="165"/>
      <c r="P85" s="179"/>
      <c r="Q85" s="119"/>
    </row>
    <row r="86" spans="13:17" ht="20.100000000000001" customHeight="1">
      <c r="M86" s="119"/>
      <c r="N86" s="119"/>
      <c r="O86" s="165"/>
      <c r="P86" s="179"/>
      <c r="Q86" s="119"/>
    </row>
    <row r="87" spans="13:17" ht="20.100000000000001" customHeight="1">
      <c r="M87" s="119"/>
      <c r="N87" s="119"/>
      <c r="O87" s="165"/>
      <c r="P87" s="179"/>
      <c r="Q87" s="119"/>
    </row>
    <row r="88" spans="13:17" ht="20.100000000000001" customHeight="1">
      <c r="M88" s="119"/>
      <c r="N88" s="119"/>
      <c r="O88" s="165"/>
      <c r="P88" s="179"/>
      <c r="Q88" s="119"/>
    </row>
    <row r="89" spans="13:17" ht="20.100000000000001" customHeight="1">
      <c r="M89" s="119"/>
      <c r="N89" s="119"/>
      <c r="O89" s="165"/>
      <c r="P89" s="179"/>
      <c r="Q89" s="119"/>
    </row>
    <row r="90" spans="13:17" ht="20.100000000000001" customHeight="1">
      <c r="M90" s="119"/>
      <c r="N90" s="119"/>
      <c r="O90" s="165"/>
      <c r="P90" s="179"/>
      <c r="Q90" s="119"/>
    </row>
    <row r="91" spans="13:17" ht="20.100000000000001" customHeight="1">
      <c r="M91" s="119"/>
      <c r="N91" s="119"/>
      <c r="O91" s="165"/>
      <c r="P91" s="179"/>
      <c r="Q91" s="119"/>
    </row>
    <row r="92" spans="13:17" ht="20.100000000000001" customHeight="1">
      <c r="M92" s="119"/>
      <c r="N92" s="119"/>
      <c r="O92" s="165"/>
      <c r="P92" s="179"/>
      <c r="Q92" s="119"/>
    </row>
    <row r="93" spans="13:17" ht="20.100000000000001" customHeight="1">
      <c r="M93" s="119"/>
      <c r="N93" s="119"/>
      <c r="O93" s="165"/>
      <c r="P93" s="179"/>
      <c r="Q93" s="119"/>
    </row>
    <row r="94" spans="13:17" ht="20.100000000000001" customHeight="1">
      <c r="M94" s="119"/>
      <c r="N94" s="119"/>
      <c r="O94" s="165"/>
      <c r="P94" s="179"/>
      <c r="Q94" s="119"/>
    </row>
    <row r="95" spans="13:17" ht="20.100000000000001" customHeight="1">
      <c r="M95" s="119"/>
      <c r="N95" s="119"/>
      <c r="O95" s="165"/>
      <c r="P95" s="179"/>
      <c r="Q95" s="119"/>
    </row>
    <row r="96" spans="13:17" ht="20.100000000000001" customHeight="1">
      <c r="M96" s="119"/>
      <c r="N96" s="119"/>
      <c r="O96" s="165"/>
      <c r="P96" s="179"/>
      <c r="Q96" s="119"/>
    </row>
    <row r="97" spans="13:17" ht="20.100000000000001" customHeight="1">
      <c r="M97" s="119"/>
      <c r="N97" s="119"/>
      <c r="O97" s="165"/>
      <c r="P97" s="179"/>
      <c r="Q97" s="119"/>
    </row>
    <row r="98" spans="13:17" ht="20.100000000000001" customHeight="1">
      <c r="M98" s="119"/>
      <c r="N98" s="119"/>
      <c r="O98" s="165"/>
      <c r="P98" s="179"/>
      <c r="Q98" s="119"/>
    </row>
    <row r="99" spans="13:17" ht="20.100000000000001" customHeight="1">
      <c r="M99" s="119"/>
      <c r="N99" s="119"/>
      <c r="O99" s="165"/>
      <c r="P99" s="179"/>
      <c r="Q99" s="119"/>
    </row>
    <row r="100" spans="13:17" ht="20.100000000000001" customHeight="1">
      <c r="M100" s="119"/>
      <c r="N100" s="119"/>
      <c r="O100" s="165"/>
      <c r="P100" s="179"/>
      <c r="Q100" s="119"/>
    </row>
    <row r="101" spans="13:17" ht="20.100000000000001" customHeight="1">
      <c r="M101" s="119"/>
      <c r="N101" s="119"/>
      <c r="O101" s="165"/>
      <c r="P101" s="179"/>
      <c r="Q101" s="119"/>
    </row>
    <row r="102" spans="13:17" ht="20.100000000000001" customHeight="1">
      <c r="M102" s="119"/>
      <c r="N102" s="119"/>
      <c r="O102" s="165"/>
      <c r="P102" s="179"/>
      <c r="Q102" s="119"/>
    </row>
    <row r="103" spans="13:17" ht="20.100000000000001" customHeight="1">
      <c r="M103" s="119"/>
      <c r="N103" s="119"/>
      <c r="O103" s="165"/>
      <c r="P103" s="179"/>
      <c r="Q103" s="119"/>
    </row>
    <row r="104" spans="13:17" ht="20.100000000000001" customHeight="1">
      <c r="M104" s="119"/>
      <c r="N104" s="119"/>
      <c r="O104" s="165"/>
      <c r="P104" s="179"/>
      <c r="Q104" s="119"/>
    </row>
    <row r="105" spans="13:17" ht="20.100000000000001" customHeight="1">
      <c r="M105" s="119"/>
      <c r="N105" s="119"/>
      <c r="O105" s="165"/>
      <c r="P105" s="179"/>
      <c r="Q105" s="119"/>
    </row>
    <row r="106" spans="13:17" ht="20.100000000000001" customHeight="1">
      <c r="M106" s="119"/>
      <c r="N106" s="119"/>
      <c r="O106" s="165"/>
      <c r="P106" s="179"/>
      <c r="Q106" s="119"/>
    </row>
    <row r="107" spans="13:17" ht="20.100000000000001" customHeight="1">
      <c r="M107" s="119"/>
      <c r="N107" s="119"/>
      <c r="O107" s="165"/>
      <c r="P107" s="179"/>
      <c r="Q107" s="119"/>
    </row>
    <row r="108" spans="13:17" ht="20.100000000000001" customHeight="1">
      <c r="M108" s="119"/>
      <c r="N108" s="119"/>
      <c r="O108" s="165"/>
      <c r="P108" s="179"/>
      <c r="Q108" s="119"/>
    </row>
    <row r="109" spans="13:17" ht="20.100000000000001" customHeight="1">
      <c r="M109" s="119"/>
      <c r="N109" s="119"/>
      <c r="O109" s="165"/>
      <c r="P109" s="179"/>
      <c r="Q109" s="119"/>
    </row>
    <row r="110" spans="13:17" ht="20.100000000000001" customHeight="1">
      <c r="M110" s="119"/>
      <c r="N110" s="119"/>
      <c r="O110" s="165"/>
      <c r="P110" s="179"/>
      <c r="Q110" s="119"/>
    </row>
    <row r="111" spans="13:17" ht="20.100000000000001" customHeight="1">
      <c r="M111" s="119"/>
      <c r="N111" s="119"/>
      <c r="O111" s="165"/>
      <c r="P111" s="179"/>
      <c r="Q111" s="119"/>
    </row>
    <row r="112" spans="13:17" ht="20.100000000000001" customHeight="1">
      <c r="M112" s="119"/>
      <c r="N112" s="119"/>
      <c r="O112" s="165"/>
      <c r="P112" s="179"/>
      <c r="Q112" s="119"/>
    </row>
    <row r="113" spans="13:17" ht="20.100000000000001" customHeight="1">
      <c r="M113" s="119"/>
      <c r="N113" s="119"/>
      <c r="O113" s="165"/>
      <c r="P113" s="179"/>
      <c r="Q113" s="119"/>
    </row>
    <row r="114" spans="13:17" ht="20.100000000000001" customHeight="1">
      <c r="M114" s="119"/>
      <c r="N114" s="119"/>
      <c r="O114" s="165"/>
      <c r="P114" s="179"/>
      <c r="Q114" s="119"/>
    </row>
    <row r="115" spans="13:17" ht="20.100000000000001" customHeight="1">
      <c r="M115" s="119"/>
      <c r="N115" s="119"/>
      <c r="O115" s="165"/>
      <c r="P115" s="179"/>
      <c r="Q115" s="119"/>
    </row>
    <row r="116" spans="13:17" ht="20.100000000000001" customHeight="1">
      <c r="M116" s="119"/>
      <c r="N116" s="119"/>
      <c r="O116" s="165"/>
      <c r="P116" s="179"/>
      <c r="Q116" s="119"/>
    </row>
    <row r="117" spans="13:17" ht="20.100000000000001" customHeight="1">
      <c r="M117" s="119"/>
      <c r="N117" s="119"/>
      <c r="O117" s="165"/>
      <c r="P117" s="179"/>
      <c r="Q117" s="119"/>
    </row>
    <row r="118" spans="13:17" ht="20.100000000000001" customHeight="1">
      <c r="M118" s="119"/>
      <c r="N118" s="119"/>
      <c r="O118" s="165"/>
      <c r="P118" s="179"/>
      <c r="Q118" s="119"/>
    </row>
    <row r="119" spans="13:17" ht="20.100000000000001" customHeight="1">
      <c r="M119" s="119"/>
      <c r="N119" s="119"/>
      <c r="O119" s="165"/>
      <c r="P119" s="179"/>
      <c r="Q119" s="119"/>
    </row>
    <row r="120" spans="13:17" ht="20.100000000000001" customHeight="1">
      <c r="M120" s="119"/>
      <c r="N120" s="119"/>
      <c r="O120" s="165"/>
      <c r="P120" s="179"/>
      <c r="Q120" s="119"/>
    </row>
    <row r="121" spans="13:17" ht="20.100000000000001" customHeight="1">
      <c r="M121" s="119"/>
      <c r="N121" s="119"/>
      <c r="O121" s="165"/>
      <c r="P121" s="179"/>
      <c r="Q121" s="119"/>
    </row>
    <row r="122" spans="13:17" ht="20.100000000000001" customHeight="1">
      <c r="M122" s="119"/>
      <c r="N122" s="119"/>
      <c r="O122" s="165"/>
      <c r="P122" s="179"/>
      <c r="Q122" s="119"/>
    </row>
    <row r="123" spans="13:17" ht="20.100000000000001" customHeight="1">
      <c r="M123" s="119"/>
      <c r="N123" s="119"/>
      <c r="O123" s="165"/>
      <c r="P123" s="179"/>
      <c r="Q123" s="119"/>
    </row>
    <row r="124" spans="13:17" ht="20.100000000000001" customHeight="1">
      <c r="M124" s="119"/>
      <c r="N124" s="119"/>
      <c r="O124" s="165"/>
      <c r="P124" s="179"/>
      <c r="Q124" s="119"/>
    </row>
    <row r="125" spans="13:17" ht="20.100000000000001" customHeight="1">
      <c r="M125" s="119"/>
      <c r="N125" s="119"/>
      <c r="O125" s="165"/>
      <c r="P125" s="179"/>
      <c r="Q125" s="119"/>
    </row>
    <row r="126" spans="13:17" ht="20.100000000000001" customHeight="1">
      <c r="M126" s="119"/>
      <c r="N126" s="119"/>
      <c r="O126" s="165"/>
      <c r="P126" s="179"/>
      <c r="Q126" s="119"/>
    </row>
    <row r="127" spans="13:17" ht="20.100000000000001" customHeight="1">
      <c r="M127" s="119"/>
      <c r="N127" s="119"/>
      <c r="O127" s="165"/>
      <c r="P127" s="179"/>
      <c r="Q127" s="119"/>
    </row>
    <row r="128" spans="13:17" ht="20.100000000000001" customHeight="1">
      <c r="M128" s="119"/>
      <c r="N128" s="119"/>
      <c r="O128" s="165"/>
      <c r="P128" s="179"/>
      <c r="Q128" s="119"/>
    </row>
    <row r="129" spans="13:17" ht="20.100000000000001" customHeight="1">
      <c r="M129" s="119"/>
      <c r="N129" s="119"/>
      <c r="O129" s="165"/>
      <c r="P129" s="179"/>
      <c r="Q129" s="119"/>
    </row>
    <row r="130" spans="13:17" ht="20.100000000000001" customHeight="1">
      <c r="M130" s="119"/>
      <c r="N130" s="119"/>
      <c r="O130" s="165"/>
      <c r="P130" s="179"/>
      <c r="Q130" s="119"/>
    </row>
    <row r="131" spans="13:17" ht="20.100000000000001" customHeight="1">
      <c r="M131" s="119"/>
      <c r="N131" s="119"/>
      <c r="O131" s="165"/>
      <c r="P131" s="179"/>
      <c r="Q131" s="119"/>
    </row>
    <row r="132" spans="13:17" ht="20.100000000000001" customHeight="1">
      <c r="M132" s="119"/>
      <c r="N132" s="119"/>
      <c r="O132" s="165"/>
      <c r="P132" s="179"/>
      <c r="Q132" s="119"/>
    </row>
    <row r="133" spans="13:17" ht="20.100000000000001" customHeight="1">
      <c r="M133" s="119"/>
      <c r="N133" s="119"/>
      <c r="O133" s="165"/>
      <c r="P133" s="179"/>
      <c r="Q133" s="119"/>
    </row>
    <row r="134" spans="13:17" ht="20.100000000000001" customHeight="1">
      <c r="M134" s="119"/>
      <c r="N134" s="119"/>
      <c r="O134" s="165"/>
      <c r="P134" s="179"/>
      <c r="Q134" s="119"/>
    </row>
    <row r="135" spans="13:17" ht="20.100000000000001" customHeight="1">
      <c r="M135" s="119"/>
      <c r="N135" s="119"/>
      <c r="O135" s="165"/>
      <c r="P135" s="179"/>
      <c r="Q135" s="119"/>
    </row>
    <row r="136" spans="13:17" ht="20.100000000000001" customHeight="1">
      <c r="M136" s="119"/>
      <c r="N136" s="119"/>
      <c r="O136" s="165"/>
      <c r="P136" s="179"/>
      <c r="Q136" s="119"/>
    </row>
    <row r="137" spans="13:17" ht="20.100000000000001" customHeight="1">
      <c r="M137" s="119"/>
      <c r="N137" s="119"/>
      <c r="O137" s="165"/>
      <c r="P137" s="179"/>
      <c r="Q137" s="119"/>
    </row>
    <row r="138" spans="13:17" ht="20.100000000000001" customHeight="1">
      <c r="M138" s="119"/>
      <c r="N138" s="119"/>
      <c r="O138" s="165"/>
      <c r="P138" s="179"/>
      <c r="Q138" s="119"/>
    </row>
    <row r="139" spans="13:17" ht="20.100000000000001" customHeight="1">
      <c r="M139" s="119"/>
      <c r="N139" s="119"/>
      <c r="O139" s="165"/>
      <c r="P139" s="179"/>
      <c r="Q139" s="119"/>
    </row>
    <row r="140" spans="13:17" ht="20.100000000000001" customHeight="1">
      <c r="M140" s="119"/>
      <c r="N140" s="119"/>
      <c r="O140" s="165"/>
      <c r="P140" s="179"/>
      <c r="Q140" s="119"/>
    </row>
    <row r="141" spans="13:17" ht="20.100000000000001" customHeight="1">
      <c r="M141" s="119"/>
      <c r="N141" s="119"/>
      <c r="O141" s="165"/>
      <c r="P141" s="179"/>
      <c r="Q141" s="119"/>
    </row>
    <row r="142" spans="13:17" ht="20.100000000000001" customHeight="1">
      <c r="M142" s="119"/>
      <c r="N142" s="119"/>
      <c r="O142" s="165"/>
      <c r="P142" s="179"/>
      <c r="Q142" s="119"/>
    </row>
    <row r="143" spans="13:17" ht="20.100000000000001" customHeight="1">
      <c r="M143" s="119"/>
      <c r="N143" s="119"/>
      <c r="O143" s="165"/>
      <c r="P143" s="179"/>
      <c r="Q143" s="119"/>
    </row>
    <row r="144" spans="13:17" ht="20.100000000000001" customHeight="1">
      <c r="M144" s="119"/>
      <c r="N144" s="119"/>
      <c r="O144" s="165"/>
      <c r="P144" s="179"/>
      <c r="Q144" s="119"/>
    </row>
    <row r="145" spans="13:17" ht="20.100000000000001" customHeight="1">
      <c r="M145" s="119"/>
      <c r="N145" s="119"/>
      <c r="O145" s="165"/>
      <c r="P145" s="179"/>
      <c r="Q145" s="119"/>
    </row>
    <row r="146" spans="13:17" ht="20.100000000000001" customHeight="1">
      <c r="M146" s="119"/>
      <c r="N146" s="119"/>
      <c r="O146" s="165"/>
      <c r="P146" s="179"/>
      <c r="Q146" s="119"/>
    </row>
    <row r="147" spans="13:17" ht="20.100000000000001" customHeight="1">
      <c r="M147" s="119"/>
      <c r="N147" s="119"/>
      <c r="O147" s="165"/>
      <c r="P147" s="179"/>
      <c r="Q147" s="119"/>
    </row>
    <row r="148" spans="13:17" ht="20.100000000000001" customHeight="1">
      <c r="M148" s="119"/>
      <c r="N148" s="119"/>
      <c r="O148" s="165"/>
      <c r="P148" s="179"/>
      <c r="Q148" s="119"/>
    </row>
    <row r="149" spans="13:17" ht="20.100000000000001" customHeight="1">
      <c r="M149" s="119"/>
      <c r="N149" s="119"/>
      <c r="O149" s="165"/>
      <c r="P149" s="179"/>
      <c r="Q149" s="119"/>
    </row>
    <row r="150" spans="13:17" ht="20.100000000000001" customHeight="1">
      <c r="M150" s="119"/>
      <c r="N150" s="119"/>
      <c r="O150" s="165"/>
      <c r="P150" s="179"/>
      <c r="Q150" s="119"/>
    </row>
    <row r="151" spans="13:17" ht="20.100000000000001" customHeight="1">
      <c r="M151" s="119"/>
      <c r="N151" s="119"/>
      <c r="O151" s="165"/>
      <c r="P151" s="179"/>
      <c r="Q151" s="119"/>
    </row>
    <row r="152" spans="13:17" ht="20.100000000000001" customHeight="1">
      <c r="M152" s="119"/>
      <c r="N152" s="119"/>
      <c r="O152" s="165"/>
      <c r="P152" s="179"/>
      <c r="Q152" s="119"/>
    </row>
    <row r="153" spans="13:17" ht="20.100000000000001" customHeight="1">
      <c r="M153" s="119"/>
      <c r="N153" s="119"/>
      <c r="O153" s="165"/>
      <c r="P153" s="179"/>
      <c r="Q153" s="119"/>
    </row>
    <row r="154" spans="13:17" ht="20.100000000000001" customHeight="1">
      <c r="M154" s="119"/>
      <c r="N154" s="119"/>
      <c r="O154" s="165"/>
      <c r="P154" s="179"/>
      <c r="Q154" s="119"/>
    </row>
    <row r="155" spans="13:17" ht="20.100000000000001" customHeight="1">
      <c r="M155" s="119"/>
      <c r="N155" s="119"/>
      <c r="O155" s="165"/>
      <c r="P155" s="179"/>
      <c r="Q155" s="119"/>
    </row>
    <row r="156" spans="13:17" ht="20.100000000000001" customHeight="1">
      <c r="M156" s="119"/>
      <c r="N156" s="119"/>
      <c r="O156" s="165"/>
      <c r="P156" s="179"/>
      <c r="Q156" s="119"/>
    </row>
    <row r="157" spans="13:17" ht="20.100000000000001" customHeight="1">
      <c r="M157" s="119"/>
      <c r="N157" s="119"/>
      <c r="O157" s="165"/>
      <c r="P157" s="179"/>
      <c r="Q157" s="119"/>
    </row>
    <row r="158" spans="13:17" ht="20.100000000000001" customHeight="1">
      <c r="M158" s="119"/>
      <c r="N158" s="119"/>
      <c r="O158" s="165"/>
      <c r="P158" s="179"/>
      <c r="Q158" s="119"/>
    </row>
    <row r="159" spans="13:17" ht="20.100000000000001" customHeight="1">
      <c r="M159" s="119"/>
      <c r="N159" s="119"/>
      <c r="O159" s="165"/>
      <c r="P159" s="179"/>
      <c r="Q159" s="119"/>
    </row>
    <row r="160" spans="13:17" ht="20.100000000000001" customHeight="1">
      <c r="M160" s="119"/>
      <c r="N160" s="119"/>
      <c r="O160" s="165"/>
      <c r="P160" s="179"/>
      <c r="Q160" s="119"/>
    </row>
    <row r="161" spans="13:17" ht="20.100000000000001" customHeight="1">
      <c r="M161" s="119"/>
      <c r="N161" s="119"/>
      <c r="O161" s="165"/>
      <c r="P161" s="179"/>
      <c r="Q161" s="119"/>
    </row>
    <row r="162" spans="13:17" ht="20.100000000000001" customHeight="1">
      <c r="M162" s="119"/>
      <c r="N162" s="119"/>
      <c r="O162" s="165"/>
      <c r="P162" s="179"/>
      <c r="Q162" s="119"/>
    </row>
    <row r="163" spans="13:17" ht="20.100000000000001" customHeight="1">
      <c r="M163" s="119"/>
      <c r="N163" s="119"/>
      <c r="O163" s="165"/>
      <c r="P163" s="179"/>
      <c r="Q163" s="119"/>
    </row>
    <row r="164" spans="13:17" ht="20.100000000000001" customHeight="1">
      <c r="M164" s="119"/>
      <c r="N164" s="119"/>
      <c r="O164" s="165"/>
      <c r="P164" s="179"/>
      <c r="Q164" s="119"/>
    </row>
    <row r="165" spans="13:17" ht="20.100000000000001" customHeight="1">
      <c r="M165" s="119"/>
      <c r="N165" s="119"/>
      <c r="O165" s="165"/>
      <c r="P165" s="179"/>
      <c r="Q165" s="119"/>
    </row>
    <row r="166" spans="13:17" ht="20.100000000000001" customHeight="1">
      <c r="M166" s="119"/>
      <c r="N166" s="119"/>
      <c r="O166" s="165"/>
      <c r="P166" s="179"/>
      <c r="Q166" s="119"/>
    </row>
    <row r="167" spans="13:17" ht="20.100000000000001" customHeight="1">
      <c r="M167" s="119"/>
      <c r="N167" s="119"/>
      <c r="O167" s="165"/>
      <c r="P167" s="179"/>
      <c r="Q167" s="119"/>
    </row>
    <row r="168" spans="13:17" ht="20.100000000000001" customHeight="1">
      <c r="M168" s="119"/>
      <c r="N168" s="119"/>
      <c r="O168" s="165"/>
      <c r="P168" s="179"/>
      <c r="Q168" s="119"/>
    </row>
    <row r="169" spans="13:17" ht="20.100000000000001" customHeight="1">
      <c r="M169" s="119"/>
      <c r="N169" s="119"/>
      <c r="O169" s="165"/>
      <c r="P169" s="179"/>
      <c r="Q169" s="119"/>
    </row>
    <row r="170" spans="13:17" ht="20.100000000000001" customHeight="1">
      <c r="M170" s="119"/>
      <c r="N170" s="119"/>
      <c r="O170" s="165"/>
      <c r="P170" s="179"/>
      <c r="Q170" s="119"/>
    </row>
    <row r="171" spans="13:17" ht="20.100000000000001" customHeight="1">
      <c r="M171" s="119"/>
      <c r="N171" s="119"/>
      <c r="O171" s="165"/>
      <c r="P171" s="179"/>
      <c r="Q171" s="119"/>
    </row>
    <row r="172" spans="13:17" ht="20.100000000000001" customHeight="1">
      <c r="M172" s="119"/>
      <c r="N172" s="119"/>
      <c r="O172" s="165"/>
      <c r="P172" s="179"/>
      <c r="Q172" s="119"/>
    </row>
    <row r="173" spans="13:17" ht="20.100000000000001" customHeight="1">
      <c r="M173" s="119"/>
      <c r="N173" s="119"/>
      <c r="O173" s="165"/>
      <c r="P173" s="179"/>
      <c r="Q173" s="119"/>
    </row>
    <row r="174" spans="13:17" ht="20.100000000000001" customHeight="1">
      <c r="M174" s="119"/>
      <c r="N174" s="119"/>
      <c r="O174" s="165"/>
      <c r="P174" s="179"/>
      <c r="Q174" s="119"/>
    </row>
    <row r="175" spans="13:17" ht="20.100000000000001" customHeight="1">
      <c r="M175" s="119"/>
      <c r="N175" s="119"/>
      <c r="O175" s="165"/>
      <c r="P175" s="179"/>
      <c r="Q175" s="119"/>
    </row>
    <row r="176" spans="13:17" ht="20.100000000000001" customHeight="1">
      <c r="M176" s="119"/>
      <c r="N176" s="119"/>
      <c r="O176" s="165"/>
      <c r="P176" s="179"/>
      <c r="Q176" s="119"/>
    </row>
    <row r="177" spans="13:17" ht="20.100000000000001" customHeight="1">
      <c r="M177" s="119"/>
      <c r="N177" s="119"/>
      <c r="O177" s="165"/>
      <c r="P177" s="179"/>
      <c r="Q177" s="119"/>
    </row>
    <row r="178" spans="13:17" ht="20.100000000000001" customHeight="1">
      <c r="M178" s="119"/>
      <c r="N178" s="119"/>
      <c r="O178" s="165"/>
      <c r="P178" s="179"/>
      <c r="Q178" s="119"/>
    </row>
    <row r="179" spans="13:17" ht="20.100000000000001" customHeight="1">
      <c r="M179" s="119"/>
      <c r="N179" s="119"/>
      <c r="O179" s="165"/>
      <c r="P179" s="179"/>
      <c r="Q179" s="119"/>
    </row>
    <row r="180" spans="13:17" ht="20.100000000000001" customHeight="1">
      <c r="M180" s="119"/>
      <c r="N180" s="119"/>
      <c r="O180" s="165"/>
      <c r="P180" s="179"/>
      <c r="Q180" s="119"/>
    </row>
    <row r="181" spans="13:17" ht="20.100000000000001" customHeight="1">
      <c r="M181" s="119"/>
      <c r="N181" s="119"/>
      <c r="O181" s="165"/>
      <c r="P181" s="179"/>
      <c r="Q181" s="119"/>
    </row>
    <row r="182" spans="13:17" ht="20.100000000000001" customHeight="1">
      <c r="M182" s="119"/>
      <c r="N182" s="119"/>
      <c r="O182" s="165"/>
      <c r="P182" s="179"/>
      <c r="Q182" s="119"/>
    </row>
    <row r="183" spans="13:17" ht="20.100000000000001" customHeight="1">
      <c r="M183" s="119"/>
      <c r="N183" s="119"/>
      <c r="O183" s="165"/>
      <c r="P183" s="179"/>
      <c r="Q183" s="119"/>
    </row>
    <row r="184" spans="13:17" ht="20.100000000000001" customHeight="1">
      <c r="M184" s="119"/>
      <c r="N184" s="119"/>
      <c r="O184" s="165"/>
      <c r="P184" s="179"/>
      <c r="Q184" s="119"/>
    </row>
    <row r="185" spans="13:17" ht="20.100000000000001" customHeight="1">
      <c r="M185" s="119"/>
      <c r="N185" s="119"/>
      <c r="O185" s="165"/>
      <c r="P185" s="179"/>
      <c r="Q185" s="119"/>
    </row>
    <row r="186" spans="13:17" ht="20.100000000000001" customHeight="1">
      <c r="M186" s="119"/>
      <c r="N186" s="119"/>
      <c r="O186" s="165"/>
      <c r="P186" s="179"/>
      <c r="Q186" s="119"/>
    </row>
    <row r="187" spans="13:17" ht="20.100000000000001" customHeight="1">
      <c r="M187" s="119"/>
      <c r="N187" s="119"/>
      <c r="O187" s="165"/>
      <c r="P187" s="179"/>
      <c r="Q187" s="119"/>
    </row>
    <row r="188" spans="13:17" ht="20.100000000000001" customHeight="1">
      <c r="M188" s="119"/>
      <c r="N188" s="119"/>
      <c r="O188" s="165"/>
      <c r="P188" s="179"/>
      <c r="Q188" s="119"/>
    </row>
    <row r="189" spans="13:17" ht="20.100000000000001" customHeight="1">
      <c r="M189" s="119"/>
      <c r="N189" s="119"/>
      <c r="O189" s="165"/>
      <c r="P189" s="179"/>
      <c r="Q189" s="119"/>
    </row>
    <row r="190" spans="13:17" ht="20.100000000000001" customHeight="1">
      <c r="M190" s="119"/>
      <c r="N190" s="119"/>
      <c r="O190" s="165"/>
      <c r="P190" s="179"/>
      <c r="Q190" s="119"/>
    </row>
    <row r="191" spans="13:17" ht="20.100000000000001" customHeight="1">
      <c r="M191" s="119"/>
      <c r="N191" s="119"/>
      <c r="O191" s="165"/>
      <c r="P191" s="179"/>
      <c r="Q191" s="119"/>
    </row>
    <row r="192" spans="13:17" ht="20.100000000000001" customHeight="1">
      <c r="M192" s="119"/>
      <c r="N192" s="119"/>
      <c r="O192" s="165"/>
      <c r="P192" s="178"/>
      <c r="Q192" s="119"/>
    </row>
    <row r="193" spans="13:17" ht="20.100000000000001" customHeight="1">
      <c r="M193" s="119"/>
      <c r="N193" s="119"/>
      <c r="O193" s="165"/>
      <c r="P193" s="179"/>
      <c r="Q193" s="119"/>
    </row>
    <row r="194" spans="13:17" ht="20.100000000000001" customHeight="1">
      <c r="M194" s="119"/>
      <c r="N194" s="119"/>
      <c r="O194" s="165"/>
      <c r="P194" s="179"/>
      <c r="Q194" s="119"/>
    </row>
    <row r="195" spans="13:17" ht="20.100000000000001" customHeight="1">
      <c r="M195" s="119"/>
      <c r="N195" s="119"/>
      <c r="O195" s="165"/>
      <c r="P195" s="179"/>
      <c r="Q195" s="119"/>
    </row>
    <row r="196" spans="13:17" ht="20.100000000000001" customHeight="1">
      <c r="M196" s="119"/>
      <c r="N196" s="119"/>
      <c r="O196" s="165"/>
      <c r="P196" s="179"/>
      <c r="Q196" s="119"/>
    </row>
    <row r="197" spans="13:17" ht="20.100000000000001" customHeight="1">
      <c r="M197" s="119"/>
      <c r="N197" s="119"/>
      <c r="O197" s="165"/>
      <c r="P197" s="179"/>
      <c r="Q197" s="119"/>
    </row>
    <row r="198" spans="13:17" ht="20.100000000000001" customHeight="1">
      <c r="M198" s="119"/>
      <c r="N198" s="119"/>
      <c r="O198" s="165"/>
      <c r="P198" s="179"/>
      <c r="Q198" s="119"/>
    </row>
    <row r="199" spans="13:17" ht="20.100000000000001" customHeight="1">
      <c r="M199" s="119"/>
      <c r="N199" s="119"/>
      <c r="O199" s="165"/>
      <c r="P199" s="179"/>
      <c r="Q199" s="119"/>
    </row>
    <row r="200" spans="13:17" ht="20.100000000000001" customHeight="1">
      <c r="M200" s="119"/>
      <c r="N200" s="119"/>
      <c r="O200" s="165"/>
      <c r="P200" s="179"/>
      <c r="Q200" s="119"/>
    </row>
    <row r="201" spans="13:17" ht="20.100000000000001" customHeight="1">
      <c r="M201" s="119"/>
      <c r="N201" s="119"/>
      <c r="O201" s="165"/>
      <c r="P201" s="179"/>
      <c r="Q201" s="119"/>
    </row>
    <row r="202" spans="13:17" ht="20.100000000000001" customHeight="1">
      <c r="M202" s="119"/>
      <c r="N202" s="119"/>
      <c r="O202" s="165"/>
      <c r="P202" s="179"/>
      <c r="Q202" s="119"/>
    </row>
    <row r="203" spans="13:17" ht="20.100000000000001" customHeight="1">
      <c r="M203" s="119"/>
      <c r="N203" s="119"/>
      <c r="O203" s="165"/>
      <c r="P203" s="179"/>
      <c r="Q203" s="119"/>
    </row>
    <row r="204" spans="13:17" ht="20.100000000000001" customHeight="1">
      <c r="M204" s="119"/>
      <c r="N204" s="119"/>
      <c r="O204" s="165"/>
      <c r="P204" s="179"/>
      <c r="Q204" s="119"/>
    </row>
    <row r="205" spans="13:17" ht="20.100000000000001" customHeight="1">
      <c r="M205" s="119"/>
      <c r="N205" s="119"/>
      <c r="O205" s="165"/>
      <c r="P205" s="179"/>
      <c r="Q205" s="119"/>
    </row>
    <row r="206" spans="13:17" ht="20.100000000000001" customHeight="1">
      <c r="M206" s="119"/>
      <c r="N206" s="119"/>
      <c r="O206" s="165"/>
      <c r="P206" s="179"/>
      <c r="Q206" s="119"/>
    </row>
    <row r="207" spans="13:17" ht="20.100000000000001" customHeight="1">
      <c r="M207" s="119"/>
      <c r="N207" s="119"/>
      <c r="O207" s="165"/>
      <c r="P207" s="179"/>
      <c r="Q207" s="119"/>
    </row>
    <row r="208" spans="13:17" ht="20.100000000000001" customHeight="1">
      <c r="M208" s="119"/>
      <c r="N208" s="119"/>
      <c r="O208" s="165"/>
      <c r="P208" s="179"/>
      <c r="Q208" s="119"/>
    </row>
    <row r="209" spans="13:17" ht="20.100000000000001" customHeight="1">
      <c r="M209" s="119"/>
      <c r="N209" s="119"/>
      <c r="O209" s="165"/>
      <c r="P209" s="179"/>
      <c r="Q209" s="119"/>
    </row>
    <row r="210" spans="13:17" ht="20.100000000000001" customHeight="1">
      <c r="M210" s="119"/>
      <c r="N210" s="119"/>
      <c r="O210" s="165"/>
      <c r="P210" s="179"/>
      <c r="Q210" s="119"/>
    </row>
    <row r="211" spans="13:17" ht="20.100000000000001" customHeight="1">
      <c r="M211" s="119"/>
      <c r="N211" s="119"/>
      <c r="O211" s="165"/>
      <c r="P211" s="179"/>
      <c r="Q211" s="119"/>
    </row>
    <row r="212" spans="13:17" ht="20.100000000000001" customHeight="1">
      <c r="M212" s="119"/>
      <c r="N212" s="119"/>
      <c r="O212" s="165"/>
      <c r="P212" s="179"/>
      <c r="Q212" s="119"/>
    </row>
    <row r="213" spans="13:17" ht="20.100000000000001" customHeight="1">
      <c r="M213" s="119"/>
      <c r="N213" s="119"/>
      <c r="O213" s="165"/>
      <c r="P213" s="179"/>
      <c r="Q213" s="119"/>
    </row>
    <row r="214" spans="13:17" ht="20.100000000000001" customHeight="1">
      <c r="M214" s="119"/>
      <c r="N214" s="119"/>
      <c r="O214" s="165"/>
      <c r="P214" s="179"/>
      <c r="Q214" s="119"/>
    </row>
    <row r="215" spans="13:17" ht="20.100000000000001" customHeight="1">
      <c r="M215" s="119"/>
      <c r="N215" s="119"/>
      <c r="O215" s="165"/>
      <c r="P215" s="179"/>
      <c r="Q215" s="119"/>
    </row>
    <row r="216" spans="13:17" ht="20.100000000000001" customHeight="1">
      <c r="M216" s="119"/>
      <c r="N216" s="119"/>
      <c r="O216" s="165"/>
      <c r="P216" s="179"/>
      <c r="Q216" s="119"/>
    </row>
    <row r="217" spans="13:17" ht="20.100000000000001" customHeight="1">
      <c r="M217" s="119"/>
      <c r="N217" s="119"/>
      <c r="O217" s="165"/>
      <c r="P217" s="179"/>
      <c r="Q217" s="119"/>
    </row>
    <row r="218" spans="13:17" ht="20.100000000000001" customHeight="1">
      <c r="M218" s="119"/>
      <c r="N218" s="119"/>
      <c r="O218" s="165"/>
      <c r="P218" s="179"/>
      <c r="Q218" s="119"/>
    </row>
    <row r="219" spans="13:17" ht="20.100000000000001" customHeight="1">
      <c r="M219" s="119"/>
      <c r="N219" s="119"/>
      <c r="O219" s="165"/>
      <c r="P219" s="179"/>
      <c r="Q219" s="119"/>
    </row>
    <row r="220" spans="13:17" ht="20.100000000000001" customHeight="1">
      <c r="M220" s="119"/>
      <c r="N220" s="119"/>
      <c r="O220" s="165"/>
      <c r="P220" s="179"/>
      <c r="Q220" s="119"/>
    </row>
    <row r="221" spans="13:17" ht="20.100000000000001" customHeight="1">
      <c r="M221" s="119"/>
      <c r="N221" s="119"/>
      <c r="O221" s="165"/>
      <c r="P221" s="179"/>
      <c r="Q221" s="119"/>
    </row>
    <row r="222" spans="13:17" ht="20.100000000000001" customHeight="1">
      <c r="M222" s="119"/>
      <c r="N222" s="119"/>
      <c r="O222" s="165"/>
      <c r="P222" s="179"/>
      <c r="Q222" s="119"/>
    </row>
    <row r="223" spans="13:17" ht="20.100000000000001" customHeight="1">
      <c r="M223" s="119"/>
      <c r="N223" s="119"/>
      <c r="O223" s="165"/>
      <c r="P223" s="179"/>
      <c r="Q223" s="119"/>
    </row>
    <row r="224" spans="13:17" ht="20.100000000000001" customHeight="1">
      <c r="M224" s="119"/>
      <c r="N224" s="119"/>
      <c r="O224" s="165"/>
      <c r="P224" s="179"/>
      <c r="Q224" s="119"/>
    </row>
    <row r="225" spans="13:17" ht="20.100000000000001" customHeight="1">
      <c r="M225" s="119"/>
      <c r="N225" s="119"/>
      <c r="O225" s="165"/>
      <c r="P225" s="179"/>
      <c r="Q225" s="119"/>
    </row>
    <row r="226" spans="13:17" ht="20.100000000000001" customHeight="1">
      <c r="M226" s="119"/>
      <c r="N226" s="119"/>
      <c r="O226" s="165"/>
      <c r="P226" s="179"/>
      <c r="Q226" s="119"/>
    </row>
    <row r="227" spans="13:17" ht="20.100000000000001" customHeight="1">
      <c r="M227" s="119"/>
      <c r="N227" s="119"/>
      <c r="O227" s="165"/>
      <c r="P227" s="179"/>
      <c r="Q227" s="119"/>
    </row>
    <row r="228" spans="13:17" ht="20.100000000000001" customHeight="1">
      <c r="M228" s="119"/>
      <c r="N228" s="119"/>
      <c r="O228" s="165"/>
      <c r="P228" s="179"/>
      <c r="Q228" s="119"/>
    </row>
    <row r="229" spans="13:17" ht="20.100000000000001" customHeight="1">
      <c r="M229" s="119"/>
      <c r="N229" s="119"/>
      <c r="O229" s="165"/>
      <c r="P229" s="179"/>
      <c r="Q229" s="119"/>
    </row>
    <row r="230" spans="13:17" ht="20.100000000000001" customHeight="1">
      <c r="M230" s="119"/>
      <c r="N230" s="119"/>
      <c r="O230" s="165"/>
      <c r="P230" s="179"/>
      <c r="Q230" s="119"/>
    </row>
    <row r="231" spans="13:17" ht="20.100000000000001" customHeight="1">
      <c r="M231" s="119"/>
      <c r="N231" s="119"/>
      <c r="O231" s="165"/>
      <c r="P231" s="179"/>
      <c r="Q231" s="119"/>
    </row>
    <row r="232" spans="13:17" ht="20.100000000000001" customHeight="1">
      <c r="M232" s="119"/>
      <c r="N232" s="119"/>
      <c r="O232" s="165"/>
      <c r="P232" s="179"/>
      <c r="Q232" s="119"/>
    </row>
    <row r="233" spans="13:17" ht="20.100000000000001" customHeight="1">
      <c r="M233" s="119"/>
      <c r="N233" s="119"/>
      <c r="O233" s="165"/>
      <c r="P233" s="179"/>
      <c r="Q233" s="119"/>
    </row>
    <row r="234" spans="13:17" ht="20.100000000000001" customHeight="1">
      <c r="M234" s="119"/>
      <c r="N234" s="119"/>
      <c r="O234" s="165"/>
      <c r="P234" s="179"/>
      <c r="Q234" s="119"/>
    </row>
    <row r="235" spans="13:17" ht="20.100000000000001" customHeight="1">
      <c r="M235" s="119"/>
      <c r="N235" s="119"/>
      <c r="O235" s="165"/>
      <c r="P235" s="179"/>
      <c r="Q235" s="119"/>
    </row>
    <row r="236" spans="13:17" ht="20.100000000000001" customHeight="1">
      <c r="M236" s="119"/>
      <c r="N236" s="119"/>
      <c r="O236" s="165"/>
      <c r="P236" s="179"/>
      <c r="Q236" s="119"/>
    </row>
    <row r="237" spans="13:17" ht="20.100000000000001" customHeight="1">
      <c r="M237" s="119"/>
      <c r="N237" s="119"/>
      <c r="O237" s="165"/>
      <c r="P237" s="179"/>
      <c r="Q237" s="119"/>
    </row>
    <row r="238" spans="13:17" ht="20.100000000000001" customHeight="1">
      <c r="M238" s="119"/>
      <c r="N238" s="119"/>
      <c r="O238" s="165"/>
      <c r="P238" s="179"/>
      <c r="Q238" s="119"/>
    </row>
    <row r="239" spans="13:17" ht="20.100000000000001" customHeight="1">
      <c r="M239" s="119"/>
      <c r="N239" s="119"/>
      <c r="O239" s="165"/>
      <c r="P239" s="179"/>
      <c r="Q239" s="119"/>
    </row>
    <row r="240" spans="13:17" ht="20.100000000000001" customHeight="1">
      <c r="M240" s="119"/>
      <c r="N240" s="119"/>
      <c r="O240" s="165"/>
      <c r="P240" s="179"/>
      <c r="Q240" s="119"/>
    </row>
    <row r="241" spans="13:17" ht="20.100000000000001" customHeight="1">
      <c r="M241" s="119"/>
      <c r="N241" s="119"/>
      <c r="O241" s="165"/>
      <c r="P241" s="179"/>
      <c r="Q241" s="119"/>
    </row>
    <row r="242" spans="13:17" ht="20.100000000000001" customHeight="1">
      <c r="M242" s="119"/>
      <c r="N242" s="119"/>
      <c r="O242" s="165"/>
      <c r="P242" s="179"/>
      <c r="Q242" s="119"/>
    </row>
    <row r="243" spans="13:17" ht="20.100000000000001" customHeight="1">
      <c r="M243" s="119"/>
      <c r="N243" s="119"/>
      <c r="O243" s="165"/>
      <c r="P243" s="179"/>
      <c r="Q243" s="119"/>
    </row>
    <row r="244" spans="13:17" ht="20.100000000000001" customHeight="1">
      <c r="M244" s="119"/>
      <c r="N244" s="119"/>
      <c r="O244" s="165"/>
      <c r="P244" s="179"/>
      <c r="Q244" s="119"/>
    </row>
    <row r="245" spans="13:17" ht="20.100000000000001" customHeight="1">
      <c r="M245" s="119"/>
      <c r="N245" s="119"/>
      <c r="O245" s="165"/>
      <c r="P245" s="179"/>
      <c r="Q245" s="119"/>
    </row>
    <row r="246" spans="13:17" ht="20.100000000000001" customHeight="1">
      <c r="M246" s="119"/>
      <c r="N246" s="119"/>
      <c r="O246" s="165"/>
      <c r="P246" s="179"/>
      <c r="Q246" s="119"/>
    </row>
    <row r="247" spans="13:17" ht="20.100000000000001" customHeight="1">
      <c r="M247" s="119"/>
      <c r="N247" s="119"/>
      <c r="O247" s="165"/>
      <c r="P247" s="179"/>
      <c r="Q247" s="119"/>
    </row>
    <row r="248" spans="13:17" ht="20.100000000000001" customHeight="1">
      <c r="M248" s="119"/>
      <c r="N248" s="119"/>
      <c r="O248" s="165"/>
      <c r="P248" s="179"/>
      <c r="Q248" s="119"/>
    </row>
    <row r="249" spans="13:17" ht="20.100000000000001" customHeight="1">
      <c r="M249" s="119"/>
      <c r="N249" s="119"/>
      <c r="O249" s="165"/>
      <c r="P249" s="179"/>
      <c r="Q249" s="119"/>
    </row>
    <row r="250" spans="13:17" ht="20.100000000000001" customHeight="1">
      <c r="M250" s="119"/>
      <c r="N250" s="119"/>
      <c r="O250" s="165"/>
      <c r="P250" s="179"/>
      <c r="Q250" s="119"/>
    </row>
    <row r="251" spans="13:17" ht="20.100000000000001" customHeight="1">
      <c r="M251" s="119"/>
      <c r="N251" s="119"/>
      <c r="O251" s="165"/>
      <c r="P251" s="179"/>
      <c r="Q251" s="119"/>
    </row>
    <row r="252" spans="13:17" ht="20.100000000000001" customHeight="1">
      <c r="M252" s="119"/>
      <c r="N252" s="119"/>
      <c r="O252" s="165"/>
      <c r="P252" s="179"/>
      <c r="Q252" s="119"/>
    </row>
    <row r="253" spans="13:17" ht="20.100000000000001" customHeight="1">
      <c r="M253" s="119"/>
      <c r="N253" s="119"/>
      <c r="O253" s="165"/>
      <c r="P253" s="179"/>
      <c r="Q253" s="119"/>
    </row>
    <row r="254" spans="13:17" ht="20.100000000000001" customHeight="1">
      <c r="M254" s="119"/>
      <c r="N254" s="119"/>
      <c r="O254" s="165"/>
      <c r="P254" s="179"/>
      <c r="Q254" s="119"/>
    </row>
    <row r="255" spans="13:17" ht="20.100000000000001" customHeight="1">
      <c r="M255" s="119"/>
      <c r="N255" s="119"/>
      <c r="O255" s="165"/>
      <c r="P255" s="179"/>
      <c r="Q255" s="119"/>
    </row>
    <row r="256" spans="13:17" ht="20.100000000000001" customHeight="1">
      <c r="M256" s="119"/>
      <c r="N256" s="119"/>
      <c r="O256" s="165"/>
      <c r="P256" s="179"/>
      <c r="Q256" s="119"/>
    </row>
    <row r="257" spans="13:17" ht="20.100000000000001" customHeight="1">
      <c r="M257" s="119"/>
      <c r="N257" s="119"/>
      <c r="O257" s="165"/>
      <c r="P257" s="179"/>
      <c r="Q257" s="119"/>
    </row>
    <row r="258" spans="13:17" ht="20.100000000000001" customHeight="1">
      <c r="M258" s="119"/>
      <c r="N258" s="119"/>
      <c r="O258" s="165"/>
      <c r="P258" s="179"/>
      <c r="Q258" s="119"/>
    </row>
    <row r="259" spans="13:17" ht="20.100000000000001" customHeight="1">
      <c r="M259" s="119"/>
      <c r="N259" s="119"/>
      <c r="O259" s="165"/>
      <c r="P259" s="179"/>
      <c r="Q259" s="119"/>
    </row>
    <row r="260" spans="13:17" ht="20.100000000000001" customHeight="1">
      <c r="M260" s="119"/>
      <c r="N260" s="119"/>
      <c r="O260" s="165"/>
      <c r="P260" s="179"/>
      <c r="Q260" s="119"/>
    </row>
    <row r="261" spans="13:17" ht="20.100000000000001" customHeight="1">
      <c r="M261" s="119"/>
      <c r="N261" s="119"/>
      <c r="O261" s="165"/>
      <c r="P261" s="179"/>
      <c r="Q261" s="119"/>
    </row>
    <row r="262" spans="13:17" ht="20.100000000000001" customHeight="1">
      <c r="M262" s="119"/>
      <c r="N262" s="119"/>
      <c r="O262" s="165"/>
      <c r="P262" s="179"/>
      <c r="Q262" s="119"/>
    </row>
    <row r="263" spans="13:17" ht="20.100000000000001" customHeight="1">
      <c r="M263" s="119"/>
      <c r="N263" s="119"/>
      <c r="O263" s="165"/>
      <c r="P263" s="179"/>
      <c r="Q263" s="119"/>
    </row>
    <row r="264" spans="13:17" ht="20.100000000000001" customHeight="1">
      <c r="M264" s="119"/>
      <c r="N264" s="119"/>
      <c r="O264" s="165"/>
      <c r="P264" s="179"/>
      <c r="Q264" s="119"/>
    </row>
    <row r="265" spans="13:17" ht="20.100000000000001" customHeight="1">
      <c r="M265" s="119"/>
      <c r="N265" s="119"/>
      <c r="O265" s="165"/>
      <c r="P265" s="179"/>
      <c r="Q265" s="119"/>
    </row>
    <row r="266" spans="13:17" ht="20.100000000000001" customHeight="1">
      <c r="M266" s="119"/>
      <c r="N266" s="119"/>
      <c r="O266" s="165"/>
      <c r="P266" s="179"/>
      <c r="Q266" s="119"/>
    </row>
    <row r="267" spans="13:17" ht="20.100000000000001" customHeight="1">
      <c r="M267" s="119"/>
      <c r="N267" s="119"/>
      <c r="O267" s="165"/>
      <c r="P267" s="179"/>
      <c r="Q267" s="119"/>
    </row>
    <row r="268" spans="13:17" ht="20.100000000000001" customHeight="1">
      <c r="M268" s="119"/>
      <c r="N268" s="119"/>
      <c r="O268" s="165"/>
      <c r="P268" s="179"/>
      <c r="Q268" s="119"/>
    </row>
    <row r="269" spans="13:17" ht="20.100000000000001" customHeight="1">
      <c r="M269" s="119"/>
      <c r="N269" s="119"/>
      <c r="O269" s="165"/>
      <c r="P269" s="179"/>
      <c r="Q269" s="119"/>
    </row>
    <row r="270" spans="13:17" ht="20.100000000000001" customHeight="1">
      <c r="M270" s="119"/>
      <c r="N270" s="119"/>
      <c r="O270" s="165"/>
      <c r="P270" s="179"/>
      <c r="Q270" s="119"/>
    </row>
    <row r="271" spans="13:17" ht="20.100000000000001" customHeight="1">
      <c r="M271" s="119"/>
      <c r="N271" s="119"/>
      <c r="O271" s="165"/>
      <c r="P271" s="179"/>
      <c r="Q271" s="119"/>
    </row>
    <row r="272" spans="13:17" ht="20.100000000000001" customHeight="1">
      <c r="M272" s="119"/>
      <c r="N272" s="119"/>
      <c r="O272" s="165"/>
      <c r="P272" s="179"/>
      <c r="Q272" s="119"/>
    </row>
    <row r="273" spans="13:17" ht="20.100000000000001" customHeight="1">
      <c r="M273" s="119"/>
      <c r="N273" s="119"/>
      <c r="O273" s="165"/>
      <c r="P273" s="179"/>
      <c r="Q273" s="119"/>
    </row>
    <row r="274" spans="13:17" ht="20.100000000000001" customHeight="1">
      <c r="M274" s="119"/>
      <c r="N274" s="119"/>
      <c r="O274" s="165"/>
      <c r="P274" s="179"/>
      <c r="Q274" s="119"/>
    </row>
    <row r="275" spans="13:17" ht="20.100000000000001" customHeight="1">
      <c r="M275" s="119"/>
      <c r="N275" s="119"/>
      <c r="O275" s="165"/>
      <c r="P275" s="179"/>
      <c r="Q275" s="119"/>
    </row>
    <row r="276" spans="13:17" ht="20.100000000000001" customHeight="1">
      <c r="M276" s="119"/>
      <c r="N276" s="119"/>
      <c r="O276" s="165"/>
      <c r="P276" s="179"/>
      <c r="Q276" s="119"/>
    </row>
    <row r="277" spans="13:17" ht="20.100000000000001" customHeight="1">
      <c r="M277" s="119"/>
      <c r="N277" s="119"/>
      <c r="O277" s="165"/>
      <c r="P277" s="179"/>
      <c r="Q277" s="119"/>
    </row>
    <row r="278" spans="13:17" ht="20.100000000000001" customHeight="1">
      <c r="M278" s="119"/>
      <c r="N278" s="119"/>
      <c r="O278" s="165"/>
      <c r="P278" s="179"/>
      <c r="Q278" s="119"/>
    </row>
    <row r="279" spans="13:17" ht="20.100000000000001" customHeight="1">
      <c r="M279" s="119"/>
      <c r="N279" s="119"/>
      <c r="O279" s="165"/>
      <c r="P279" s="179"/>
      <c r="Q279" s="119"/>
    </row>
    <row r="280" spans="13:17" ht="20.100000000000001" customHeight="1">
      <c r="M280" s="119"/>
      <c r="N280" s="119"/>
      <c r="O280" s="165"/>
      <c r="P280" s="179"/>
      <c r="Q280" s="119"/>
    </row>
    <row r="281" spans="13:17" ht="20.100000000000001" customHeight="1">
      <c r="M281" s="119"/>
      <c r="N281" s="119"/>
      <c r="O281" s="165"/>
      <c r="P281" s="179"/>
      <c r="Q281" s="119"/>
    </row>
    <row r="282" spans="13:17" ht="20.100000000000001" customHeight="1">
      <c r="M282" s="119"/>
      <c r="N282" s="119"/>
      <c r="O282" s="165"/>
      <c r="P282" s="179"/>
      <c r="Q282" s="119"/>
    </row>
    <row r="283" spans="13:17" ht="20.100000000000001" customHeight="1">
      <c r="M283" s="119"/>
      <c r="N283" s="119"/>
      <c r="O283" s="165"/>
      <c r="P283" s="179"/>
      <c r="Q283" s="119"/>
    </row>
    <row r="284" spans="13:17" ht="20.100000000000001" customHeight="1">
      <c r="M284" s="119"/>
      <c r="N284" s="119"/>
      <c r="O284" s="165"/>
      <c r="P284" s="179"/>
      <c r="Q284" s="119"/>
    </row>
    <row r="285" spans="13:17" ht="20.100000000000001" customHeight="1">
      <c r="M285" s="119"/>
      <c r="N285" s="119"/>
      <c r="O285" s="165"/>
      <c r="P285" s="179"/>
      <c r="Q285" s="119"/>
    </row>
    <row r="286" spans="13:17" ht="20.100000000000001" customHeight="1">
      <c r="M286" s="119"/>
      <c r="N286" s="119"/>
      <c r="O286" s="165"/>
      <c r="P286" s="179"/>
      <c r="Q286" s="119"/>
    </row>
    <row r="287" spans="13:17" ht="20.100000000000001" customHeight="1">
      <c r="M287" s="119"/>
      <c r="N287" s="119"/>
      <c r="O287" s="165"/>
      <c r="P287" s="179"/>
      <c r="Q287" s="119"/>
    </row>
    <row r="288" spans="13:17" ht="20.100000000000001" customHeight="1">
      <c r="M288" s="119"/>
      <c r="N288" s="119"/>
      <c r="O288" s="165"/>
      <c r="P288" s="179"/>
      <c r="Q288" s="119"/>
    </row>
    <row r="289" spans="13:17" ht="20.100000000000001" customHeight="1">
      <c r="M289" s="119"/>
      <c r="N289" s="119"/>
      <c r="O289" s="165"/>
      <c r="P289" s="179"/>
      <c r="Q289" s="119"/>
    </row>
    <row r="290" spans="13:17" ht="20.100000000000001" customHeight="1">
      <c r="M290" s="119"/>
      <c r="N290" s="119"/>
      <c r="O290" s="165"/>
      <c r="P290" s="179"/>
      <c r="Q290" s="119"/>
    </row>
    <row r="291" spans="13:17" ht="20.100000000000001" customHeight="1">
      <c r="M291" s="119"/>
      <c r="N291" s="119"/>
      <c r="O291" s="165"/>
      <c r="P291" s="179"/>
      <c r="Q291" s="119"/>
    </row>
    <row r="292" spans="13:17" ht="20.100000000000001" customHeight="1">
      <c r="M292" s="119"/>
      <c r="N292" s="119"/>
      <c r="O292" s="165"/>
      <c r="P292" s="179"/>
      <c r="Q292" s="119"/>
    </row>
    <row r="293" spans="13:17" ht="20.100000000000001" customHeight="1">
      <c r="M293" s="119"/>
      <c r="N293" s="119"/>
      <c r="O293" s="165"/>
      <c r="P293" s="179"/>
      <c r="Q293" s="119"/>
    </row>
    <row r="294" spans="13:17" ht="20.100000000000001" customHeight="1">
      <c r="M294" s="119"/>
      <c r="N294" s="119"/>
      <c r="O294" s="165"/>
      <c r="P294" s="179"/>
      <c r="Q294" s="119"/>
    </row>
    <row r="295" spans="13:17" ht="20.100000000000001" customHeight="1">
      <c r="M295" s="119"/>
      <c r="N295" s="119"/>
      <c r="O295" s="165"/>
      <c r="P295" s="179"/>
      <c r="Q295" s="119"/>
    </row>
    <row r="296" spans="13:17" ht="20.100000000000001" customHeight="1">
      <c r="M296" s="119"/>
      <c r="N296" s="119"/>
      <c r="O296" s="165"/>
      <c r="P296" s="179"/>
      <c r="Q296" s="119"/>
    </row>
    <row r="297" spans="13:17" ht="20.100000000000001" customHeight="1">
      <c r="M297" s="119"/>
      <c r="N297" s="119"/>
      <c r="O297" s="165"/>
      <c r="P297" s="179"/>
      <c r="Q297" s="119"/>
    </row>
    <row r="298" spans="13:17" ht="20.100000000000001" customHeight="1">
      <c r="M298" s="119"/>
      <c r="N298" s="119"/>
      <c r="O298" s="165"/>
      <c r="P298" s="179"/>
      <c r="Q298" s="119"/>
    </row>
    <row r="299" spans="13:17" ht="20.100000000000001" customHeight="1">
      <c r="M299" s="119"/>
      <c r="N299" s="119"/>
      <c r="O299" s="165"/>
      <c r="P299" s="179"/>
      <c r="Q299" s="119"/>
    </row>
    <row r="300" spans="13:17" ht="20.100000000000001" customHeight="1">
      <c r="M300" s="119"/>
      <c r="N300" s="119"/>
      <c r="O300" s="165"/>
      <c r="P300" s="179"/>
      <c r="Q300" s="119"/>
    </row>
    <row r="301" spans="13:17" ht="20.100000000000001" customHeight="1">
      <c r="M301" s="119"/>
      <c r="N301" s="119"/>
      <c r="O301" s="165"/>
      <c r="P301" s="179"/>
      <c r="Q301" s="119"/>
    </row>
    <row r="302" spans="13:17" ht="20.100000000000001" customHeight="1">
      <c r="M302" s="119"/>
      <c r="N302" s="119"/>
      <c r="O302" s="165"/>
      <c r="P302" s="179"/>
      <c r="Q302" s="119"/>
    </row>
    <row r="303" spans="13:17" ht="20.100000000000001" customHeight="1">
      <c r="M303" s="119"/>
      <c r="N303" s="119"/>
      <c r="O303" s="165"/>
      <c r="P303" s="179"/>
      <c r="Q303" s="119"/>
    </row>
    <row r="304" spans="13:17" ht="20.100000000000001" customHeight="1">
      <c r="M304" s="119"/>
      <c r="N304" s="119"/>
      <c r="O304" s="165"/>
      <c r="P304" s="179"/>
      <c r="Q304" s="119"/>
    </row>
    <row r="305" spans="13:17" ht="20.100000000000001" customHeight="1">
      <c r="M305" s="119"/>
      <c r="N305" s="119"/>
      <c r="O305" s="165"/>
      <c r="P305" s="179"/>
      <c r="Q305" s="119"/>
    </row>
    <row r="306" spans="13:17" ht="20.100000000000001" customHeight="1">
      <c r="M306" s="119"/>
      <c r="N306" s="119"/>
      <c r="O306" s="165"/>
      <c r="P306" s="179"/>
      <c r="Q306" s="119"/>
    </row>
    <row r="307" spans="13:17" ht="20.100000000000001" customHeight="1">
      <c r="M307" s="119"/>
      <c r="N307" s="119"/>
      <c r="O307" s="165"/>
      <c r="P307" s="179"/>
      <c r="Q307" s="119"/>
    </row>
    <row r="308" spans="13:17" ht="20.100000000000001" customHeight="1">
      <c r="M308" s="119"/>
      <c r="N308" s="119"/>
      <c r="O308" s="165"/>
      <c r="P308" s="179"/>
      <c r="Q308" s="119"/>
    </row>
    <row r="309" spans="13:17" ht="20.100000000000001" customHeight="1">
      <c r="M309" s="119"/>
      <c r="N309" s="119"/>
      <c r="O309" s="165"/>
      <c r="P309" s="179"/>
      <c r="Q309" s="119"/>
    </row>
    <row r="310" spans="13:17" ht="20.100000000000001" customHeight="1">
      <c r="M310" s="119"/>
      <c r="N310" s="119"/>
      <c r="O310" s="165"/>
      <c r="P310" s="179"/>
      <c r="Q310" s="119"/>
    </row>
    <row r="311" spans="13:17" ht="20.100000000000001" customHeight="1">
      <c r="M311" s="119"/>
      <c r="N311" s="119"/>
      <c r="O311" s="165"/>
      <c r="P311" s="179"/>
      <c r="Q311" s="119"/>
    </row>
    <row r="312" spans="13:17" ht="20.100000000000001" customHeight="1">
      <c r="M312" s="119"/>
      <c r="N312" s="119"/>
      <c r="O312" s="165"/>
      <c r="P312" s="179"/>
      <c r="Q312" s="119"/>
    </row>
    <row r="313" spans="13:17" ht="20.100000000000001" customHeight="1">
      <c r="M313" s="119"/>
      <c r="N313" s="119"/>
      <c r="O313" s="165"/>
      <c r="P313" s="179"/>
      <c r="Q313" s="119"/>
    </row>
    <row r="314" spans="13:17" ht="20.100000000000001" customHeight="1">
      <c r="M314" s="119"/>
      <c r="N314" s="119"/>
      <c r="O314" s="165"/>
      <c r="P314" s="179"/>
      <c r="Q314" s="119"/>
    </row>
    <row r="315" spans="13:17" ht="20.100000000000001" customHeight="1">
      <c r="M315" s="119"/>
      <c r="N315" s="119"/>
      <c r="O315" s="165"/>
      <c r="P315" s="179"/>
      <c r="Q315" s="119"/>
    </row>
    <row r="316" spans="13:17" ht="20.100000000000001" customHeight="1">
      <c r="M316" s="119"/>
      <c r="N316" s="119"/>
      <c r="O316" s="165"/>
      <c r="P316" s="179"/>
      <c r="Q316" s="119"/>
    </row>
    <row r="317" spans="13:17" ht="20.100000000000001" customHeight="1">
      <c r="M317" s="119"/>
      <c r="N317" s="119"/>
      <c r="O317" s="165"/>
      <c r="P317" s="176"/>
      <c r="Q317" s="119"/>
    </row>
    <row r="318" spans="13:17" ht="20.100000000000001" customHeight="1">
      <c r="M318" s="119"/>
      <c r="N318" s="119"/>
      <c r="O318" s="165"/>
      <c r="P318" s="180"/>
      <c r="Q318" s="119"/>
    </row>
    <row r="319" spans="13:17" ht="20.100000000000001" customHeight="1">
      <c r="M319" s="119"/>
      <c r="N319" s="119"/>
      <c r="O319" s="165"/>
      <c r="P319" s="180"/>
      <c r="Q319" s="119"/>
    </row>
    <row r="320" spans="13:17" ht="20.100000000000001" customHeight="1">
      <c r="M320" s="119"/>
      <c r="N320" s="119"/>
      <c r="O320" s="165"/>
      <c r="P320" s="180"/>
      <c r="Q320" s="119"/>
    </row>
    <row r="321" spans="13:17" ht="20.100000000000001" customHeight="1">
      <c r="M321" s="119"/>
      <c r="N321" s="119"/>
      <c r="O321" s="165"/>
      <c r="P321" s="180"/>
      <c r="Q321" s="119"/>
    </row>
    <row r="322" spans="13:17" ht="20.100000000000001" customHeight="1">
      <c r="M322" s="119"/>
      <c r="N322" s="119"/>
      <c r="O322" s="165"/>
      <c r="P322" s="180"/>
      <c r="Q322" s="119"/>
    </row>
    <row r="323" spans="13:17" ht="20.100000000000001" customHeight="1">
      <c r="M323" s="119"/>
      <c r="N323" s="119"/>
      <c r="O323" s="165"/>
      <c r="P323" s="180"/>
      <c r="Q323" s="119"/>
    </row>
    <row r="324" spans="13:17" ht="20.100000000000001" customHeight="1">
      <c r="M324" s="119"/>
      <c r="N324" s="119"/>
      <c r="O324" s="165"/>
      <c r="P324" s="180"/>
      <c r="Q324" s="119"/>
    </row>
    <row r="325" spans="13:17" ht="20.100000000000001" customHeight="1">
      <c r="M325" s="119"/>
      <c r="N325" s="119"/>
      <c r="O325" s="165"/>
      <c r="P325" s="180"/>
      <c r="Q325" s="119"/>
    </row>
    <row r="326" spans="13:17" ht="20.100000000000001" customHeight="1">
      <c r="M326" s="119"/>
      <c r="N326" s="119"/>
      <c r="O326" s="165"/>
      <c r="P326" s="180"/>
      <c r="Q326" s="119"/>
    </row>
    <row r="327" spans="13:17" ht="20.100000000000001" customHeight="1">
      <c r="M327" s="119"/>
      <c r="N327" s="119"/>
      <c r="O327" s="165"/>
      <c r="P327" s="180"/>
      <c r="Q327" s="119"/>
    </row>
    <row r="328" spans="13:17" ht="20.100000000000001" customHeight="1">
      <c r="M328" s="119"/>
      <c r="N328" s="119"/>
      <c r="O328" s="165"/>
      <c r="P328" s="180"/>
      <c r="Q328" s="119"/>
    </row>
    <row r="329" spans="13:17" ht="20.100000000000001" customHeight="1">
      <c r="M329" s="119"/>
      <c r="N329" s="119"/>
      <c r="O329" s="165"/>
      <c r="P329" s="180"/>
      <c r="Q329" s="119"/>
    </row>
    <row r="330" spans="13:17" ht="20.100000000000001" customHeight="1">
      <c r="M330" s="119"/>
      <c r="N330" s="119"/>
      <c r="O330" s="165"/>
      <c r="P330" s="180"/>
      <c r="Q330" s="119"/>
    </row>
    <row r="331" spans="13:17" ht="20.100000000000001" customHeight="1">
      <c r="M331" s="119"/>
      <c r="N331" s="119"/>
      <c r="O331" s="165"/>
      <c r="P331" s="180"/>
      <c r="Q331" s="119"/>
    </row>
    <row r="332" spans="13:17" ht="20.100000000000001" customHeight="1">
      <c r="M332" s="119"/>
      <c r="N332" s="119"/>
      <c r="O332" s="165"/>
      <c r="P332" s="180"/>
      <c r="Q332" s="119"/>
    </row>
    <row r="333" spans="13:17" ht="20.100000000000001" customHeight="1">
      <c r="M333" s="119"/>
      <c r="N333" s="119"/>
      <c r="O333" s="165"/>
      <c r="P333" s="180"/>
      <c r="Q333" s="119"/>
    </row>
    <row r="334" spans="13:17" ht="20.100000000000001" customHeight="1">
      <c r="M334" s="119"/>
      <c r="N334" s="119"/>
      <c r="O334" s="165"/>
      <c r="P334" s="180"/>
      <c r="Q334" s="119"/>
    </row>
    <row r="335" spans="13:17" ht="20.100000000000001" customHeight="1">
      <c r="M335" s="119"/>
      <c r="N335" s="119"/>
      <c r="O335" s="165"/>
      <c r="P335" s="180"/>
      <c r="Q335" s="119"/>
    </row>
    <row r="336" spans="13:17" ht="20.100000000000001" customHeight="1">
      <c r="M336" s="119"/>
      <c r="N336" s="119"/>
      <c r="O336" s="165"/>
      <c r="P336" s="180"/>
      <c r="Q336" s="119"/>
    </row>
    <row r="337" spans="13:17" ht="20.100000000000001" customHeight="1">
      <c r="M337" s="119"/>
      <c r="N337" s="119"/>
      <c r="O337" s="165"/>
      <c r="P337" s="180"/>
      <c r="Q337" s="119"/>
    </row>
    <row r="338" spans="13:17" ht="20.100000000000001" customHeight="1">
      <c r="M338" s="119"/>
      <c r="N338" s="119"/>
      <c r="O338" s="165"/>
      <c r="P338" s="180"/>
      <c r="Q338" s="119"/>
    </row>
    <row r="339" spans="13:17" ht="20.100000000000001" customHeight="1">
      <c r="M339" s="119"/>
      <c r="N339" s="119"/>
      <c r="O339" s="165"/>
      <c r="P339" s="180"/>
      <c r="Q339" s="119"/>
    </row>
    <row r="340" spans="13:17" ht="20.100000000000001" customHeight="1">
      <c r="M340" s="119"/>
      <c r="N340" s="119"/>
      <c r="O340" s="165"/>
      <c r="P340" s="180"/>
      <c r="Q340" s="119"/>
    </row>
    <row r="341" spans="13:17" ht="20.100000000000001" customHeight="1">
      <c r="M341" s="119"/>
      <c r="N341" s="119"/>
      <c r="O341" s="165"/>
      <c r="P341" s="180"/>
      <c r="Q341" s="119"/>
    </row>
    <row r="342" spans="13:17" ht="20.100000000000001" customHeight="1">
      <c r="M342" s="119"/>
      <c r="N342" s="119"/>
      <c r="O342" s="165"/>
      <c r="P342" s="180"/>
      <c r="Q342" s="119"/>
    </row>
    <row r="343" spans="13:17" ht="20.100000000000001" customHeight="1">
      <c r="M343" s="119"/>
      <c r="N343" s="119"/>
      <c r="O343" s="165"/>
      <c r="P343" s="180"/>
      <c r="Q343" s="119"/>
    </row>
    <row r="344" spans="13:17" ht="20.100000000000001" customHeight="1">
      <c r="M344" s="119"/>
      <c r="N344" s="119"/>
      <c r="O344" s="165"/>
      <c r="P344" s="180"/>
      <c r="Q344" s="119"/>
    </row>
    <row r="345" spans="13:17" ht="20.100000000000001" customHeight="1">
      <c r="M345" s="119"/>
      <c r="N345" s="119"/>
      <c r="O345" s="165"/>
      <c r="P345" s="180"/>
      <c r="Q345" s="119"/>
    </row>
    <row r="346" spans="13:17" ht="20.100000000000001" customHeight="1">
      <c r="M346" s="119"/>
      <c r="N346" s="119"/>
      <c r="O346" s="165"/>
      <c r="P346" s="180"/>
      <c r="Q346" s="119"/>
    </row>
    <row r="347" spans="13:17" ht="20.100000000000001" customHeight="1">
      <c r="M347" s="119"/>
      <c r="N347" s="119"/>
      <c r="O347" s="165"/>
      <c r="P347" s="180"/>
      <c r="Q347" s="119"/>
    </row>
    <row r="348" spans="13:17" ht="20.100000000000001" customHeight="1">
      <c r="M348" s="119"/>
      <c r="N348" s="119"/>
      <c r="O348" s="165"/>
      <c r="P348" s="180"/>
      <c r="Q348" s="119"/>
    </row>
    <row r="349" spans="13:17" ht="20.100000000000001" customHeight="1">
      <c r="M349" s="119"/>
      <c r="N349" s="119"/>
      <c r="O349" s="165"/>
      <c r="P349" s="180"/>
      <c r="Q349" s="119"/>
    </row>
    <row r="350" spans="13:17" ht="20.100000000000001" customHeight="1">
      <c r="M350" s="119"/>
      <c r="N350" s="119"/>
      <c r="O350" s="165"/>
      <c r="P350" s="180"/>
      <c r="Q350" s="119"/>
    </row>
    <row r="351" spans="13:17" ht="20.100000000000001" customHeight="1">
      <c r="M351" s="119"/>
      <c r="N351" s="119"/>
      <c r="O351" s="165"/>
      <c r="P351" s="180"/>
      <c r="Q351" s="119"/>
    </row>
    <row r="352" spans="13:17" ht="20.100000000000001" customHeight="1">
      <c r="M352" s="119"/>
      <c r="N352" s="119"/>
      <c r="O352" s="165"/>
      <c r="P352" s="180"/>
      <c r="Q352" s="119"/>
    </row>
    <row r="353" spans="13:17" ht="20.100000000000001" customHeight="1">
      <c r="M353" s="119"/>
      <c r="N353" s="119"/>
      <c r="O353" s="165"/>
      <c r="P353" s="180"/>
      <c r="Q353" s="119"/>
    </row>
    <row r="354" spans="13:17" ht="20.100000000000001" customHeight="1">
      <c r="M354" s="119"/>
      <c r="N354" s="119"/>
      <c r="O354" s="165"/>
      <c r="P354" s="180"/>
      <c r="Q354" s="119"/>
    </row>
    <row r="355" spans="13:17" ht="20.100000000000001" customHeight="1">
      <c r="M355" s="119"/>
      <c r="N355" s="119"/>
      <c r="O355" s="165"/>
      <c r="P355" s="180"/>
      <c r="Q355" s="119"/>
    </row>
    <row r="356" spans="13:17" ht="20.100000000000001" customHeight="1">
      <c r="M356" s="119"/>
      <c r="N356" s="119"/>
      <c r="O356" s="165"/>
      <c r="P356" s="180"/>
      <c r="Q356" s="119"/>
    </row>
    <row r="357" spans="13:17" ht="20.100000000000001" customHeight="1">
      <c r="M357" s="119"/>
      <c r="N357" s="119"/>
      <c r="O357" s="165"/>
      <c r="P357" s="180"/>
      <c r="Q357" s="119"/>
    </row>
    <row r="358" spans="13:17" ht="20.100000000000001" customHeight="1">
      <c r="M358" s="119"/>
      <c r="N358" s="119"/>
      <c r="O358" s="165"/>
      <c r="P358" s="180"/>
      <c r="Q358" s="119"/>
    </row>
    <row r="359" spans="13:17" ht="20.100000000000001" customHeight="1">
      <c r="M359" s="119"/>
      <c r="N359" s="119"/>
      <c r="O359" s="165"/>
      <c r="P359" s="180"/>
      <c r="Q359" s="119"/>
    </row>
    <row r="360" spans="13:17" ht="20.100000000000001" customHeight="1">
      <c r="M360" s="119"/>
      <c r="N360" s="119"/>
      <c r="O360" s="165"/>
      <c r="P360" s="180"/>
      <c r="Q360" s="119"/>
    </row>
    <row r="361" spans="13:17" ht="20.100000000000001" customHeight="1">
      <c r="M361" s="119"/>
      <c r="N361" s="119"/>
      <c r="O361" s="165"/>
      <c r="P361" s="180"/>
      <c r="Q361" s="119"/>
    </row>
    <row r="362" spans="13:17" ht="20.100000000000001" customHeight="1">
      <c r="M362" s="119"/>
      <c r="N362" s="119"/>
      <c r="O362" s="165"/>
      <c r="P362" s="180"/>
      <c r="Q362" s="119"/>
    </row>
    <row r="363" spans="13:17" ht="20.100000000000001" customHeight="1">
      <c r="M363" s="119"/>
      <c r="N363" s="119"/>
      <c r="O363" s="165"/>
      <c r="P363" s="180"/>
      <c r="Q363" s="119"/>
    </row>
    <row r="364" spans="13:17" ht="20.100000000000001" customHeight="1">
      <c r="M364" s="119"/>
      <c r="N364" s="119"/>
      <c r="O364" s="165"/>
      <c r="P364" s="180"/>
      <c r="Q364" s="119"/>
    </row>
    <row r="365" spans="13:17" ht="20.100000000000001" customHeight="1">
      <c r="M365" s="119"/>
      <c r="N365" s="119"/>
      <c r="O365" s="165"/>
      <c r="P365" s="180"/>
      <c r="Q365" s="119"/>
    </row>
    <row r="366" spans="13:17" ht="20.100000000000001" customHeight="1">
      <c r="M366" s="119"/>
      <c r="N366" s="119"/>
      <c r="O366" s="165"/>
      <c r="P366" s="180"/>
      <c r="Q366" s="119"/>
    </row>
    <row r="367" spans="13:17" ht="20.100000000000001" customHeight="1">
      <c r="M367" s="119"/>
      <c r="N367" s="119"/>
      <c r="O367" s="165"/>
      <c r="P367" s="180"/>
      <c r="Q367" s="119"/>
    </row>
    <row r="368" spans="13:17" ht="20.100000000000001" customHeight="1">
      <c r="M368" s="119"/>
      <c r="N368" s="119"/>
      <c r="O368" s="165"/>
      <c r="P368" s="180"/>
      <c r="Q368" s="119"/>
    </row>
    <row r="369" spans="13:17" ht="20.100000000000001" customHeight="1">
      <c r="M369" s="119"/>
      <c r="N369" s="119"/>
      <c r="O369" s="165"/>
      <c r="P369" s="180"/>
      <c r="Q369" s="119"/>
    </row>
    <row r="370" spans="13:17" ht="20.100000000000001" customHeight="1">
      <c r="M370" s="119"/>
      <c r="N370" s="119"/>
      <c r="O370" s="165"/>
      <c r="P370" s="180"/>
      <c r="Q370" s="119"/>
    </row>
    <row r="371" spans="13:17" ht="20.100000000000001" customHeight="1">
      <c r="M371" s="119"/>
      <c r="N371" s="119"/>
      <c r="O371" s="165"/>
      <c r="P371" s="180"/>
      <c r="Q371" s="119"/>
    </row>
    <row r="372" spans="13:17" ht="20.100000000000001" customHeight="1">
      <c r="M372" s="119"/>
      <c r="N372" s="119"/>
      <c r="O372" s="165"/>
      <c r="P372" s="180"/>
      <c r="Q372" s="119"/>
    </row>
    <row r="373" spans="13:17" ht="20.100000000000001" customHeight="1">
      <c r="M373" s="119"/>
      <c r="N373" s="119"/>
      <c r="O373" s="165"/>
      <c r="P373" s="180"/>
      <c r="Q373" s="119"/>
    </row>
    <row r="374" spans="13:17" ht="20.100000000000001" customHeight="1">
      <c r="M374" s="119"/>
      <c r="N374" s="119"/>
      <c r="O374" s="165"/>
      <c r="P374" s="180"/>
      <c r="Q374" s="119"/>
    </row>
    <row r="375" spans="13:17" ht="20.100000000000001" customHeight="1">
      <c r="M375" s="119"/>
      <c r="N375" s="119"/>
      <c r="O375" s="165"/>
      <c r="P375" s="180"/>
      <c r="Q375" s="119"/>
    </row>
    <row r="376" spans="13:17" ht="20.100000000000001" customHeight="1">
      <c r="M376" s="119"/>
      <c r="N376" s="119"/>
      <c r="O376" s="165"/>
      <c r="P376" s="180"/>
      <c r="Q376" s="119"/>
    </row>
    <row r="377" spans="13:17" ht="20.100000000000001" customHeight="1">
      <c r="M377" s="119"/>
      <c r="N377" s="119"/>
      <c r="O377" s="165"/>
      <c r="P377" s="180"/>
      <c r="Q377" s="119"/>
    </row>
    <row r="378" spans="13:17" ht="20.100000000000001" customHeight="1">
      <c r="M378" s="119"/>
      <c r="N378" s="119"/>
      <c r="O378" s="165"/>
      <c r="P378" s="180"/>
      <c r="Q378" s="119"/>
    </row>
    <row r="379" spans="13:17" ht="20.100000000000001" customHeight="1">
      <c r="M379" s="119"/>
      <c r="N379" s="119"/>
      <c r="O379" s="165"/>
      <c r="P379" s="180"/>
      <c r="Q379" s="119"/>
    </row>
    <row r="380" spans="13:17" ht="20.100000000000001" customHeight="1">
      <c r="M380" s="119"/>
      <c r="N380" s="119"/>
      <c r="O380" s="165"/>
      <c r="P380" s="180"/>
      <c r="Q380" s="119"/>
    </row>
    <row r="381" spans="13:17" ht="20.100000000000001" customHeight="1">
      <c r="M381" s="119"/>
      <c r="N381" s="119"/>
      <c r="O381" s="165"/>
      <c r="P381" s="180"/>
      <c r="Q381" s="119"/>
    </row>
    <row r="382" spans="13:17" ht="20.100000000000001" customHeight="1">
      <c r="M382" s="119"/>
      <c r="N382" s="119"/>
      <c r="O382" s="165"/>
      <c r="P382" s="180"/>
      <c r="Q382" s="119"/>
    </row>
    <row r="383" spans="13:17" ht="20.100000000000001" customHeight="1">
      <c r="M383" s="119"/>
      <c r="N383" s="119"/>
      <c r="O383" s="165"/>
      <c r="P383" s="180"/>
      <c r="Q383" s="119"/>
    </row>
    <row r="384" spans="13:17" ht="20.100000000000001" customHeight="1">
      <c r="M384" s="119"/>
      <c r="N384" s="119"/>
      <c r="O384" s="165"/>
      <c r="P384" s="180"/>
      <c r="Q384" s="119"/>
    </row>
    <row r="385" spans="13:17" ht="20.100000000000001" customHeight="1">
      <c r="M385" s="119"/>
      <c r="N385" s="119"/>
      <c r="O385" s="165"/>
      <c r="P385" s="180"/>
      <c r="Q385" s="119"/>
    </row>
    <row r="386" spans="13:17" ht="20.100000000000001" customHeight="1">
      <c r="M386" s="119"/>
      <c r="N386" s="119"/>
      <c r="O386" s="165"/>
      <c r="P386" s="180"/>
      <c r="Q386" s="119"/>
    </row>
    <row r="387" spans="13:17" ht="20.100000000000001" customHeight="1">
      <c r="M387" s="119"/>
      <c r="N387" s="119"/>
      <c r="O387" s="165"/>
      <c r="P387" s="180"/>
      <c r="Q387" s="119"/>
    </row>
    <row r="388" spans="13:17" ht="20.100000000000001" customHeight="1">
      <c r="M388" s="119"/>
      <c r="N388" s="119"/>
      <c r="O388" s="165"/>
      <c r="P388" s="180"/>
      <c r="Q388" s="119"/>
    </row>
    <row r="389" spans="13:17" ht="20.100000000000001" customHeight="1">
      <c r="M389" s="119"/>
      <c r="N389" s="119"/>
      <c r="O389" s="165"/>
      <c r="P389" s="180"/>
      <c r="Q389" s="119"/>
    </row>
    <row r="390" spans="13:17" ht="20.100000000000001" customHeight="1">
      <c r="M390" s="119"/>
      <c r="N390" s="119"/>
      <c r="O390" s="165"/>
      <c r="P390" s="180"/>
      <c r="Q390" s="119"/>
    </row>
    <row r="391" spans="13:17" ht="20.100000000000001" customHeight="1">
      <c r="M391" s="119"/>
      <c r="N391" s="119"/>
      <c r="O391" s="165"/>
      <c r="P391" s="180"/>
      <c r="Q391" s="119"/>
    </row>
    <row r="392" spans="13:17" ht="20.100000000000001" customHeight="1">
      <c r="M392" s="119"/>
      <c r="N392" s="119"/>
      <c r="O392" s="165"/>
      <c r="P392" s="180"/>
      <c r="Q392" s="119"/>
    </row>
    <row r="393" spans="13:17" ht="20.100000000000001" customHeight="1">
      <c r="M393" s="119"/>
      <c r="N393" s="119"/>
      <c r="O393" s="165"/>
      <c r="P393" s="180"/>
      <c r="Q393" s="119"/>
    </row>
    <row r="394" spans="13:17" ht="20.100000000000001" customHeight="1">
      <c r="M394" s="119"/>
      <c r="N394" s="119"/>
      <c r="O394" s="165"/>
      <c r="P394" s="180"/>
      <c r="Q394" s="119"/>
    </row>
    <row r="395" spans="13:17" ht="20.100000000000001" customHeight="1">
      <c r="M395" s="119"/>
      <c r="N395" s="119"/>
      <c r="O395" s="165"/>
      <c r="P395" s="180"/>
      <c r="Q395" s="119"/>
    </row>
    <row r="396" spans="13:17" ht="20.100000000000001" customHeight="1">
      <c r="M396" s="119"/>
      <c r="N396" s="119"/>
      <c r="O396" s="165"/>
      <c r="P396" s="180"/>
      <c r="Q396" s="119"/>
    </row>
    <row r="397" spans="13:17" ht="20.100000000000001" customHeight="1">
      <c r="M397" s="119"/>
      <c r="N397" s="119"/>
      <c r="O397" s="165"/>
      <c r="P397" s="180"/>
      <c r="Q397" s="119"/>
    </row>
    <row r="398" spans="13:17" ht="20.100000000000001" customHeight="1">
      <c r="M398" s="119"/>
      <c r="N398" s="119"/>
      <c r="O398" s="165"/>
      <c r="P398" s="180"/>
      <c r="Q398" s="119"/>
    </row>
    <row r="399" spans="13:17" ht="20.100000000000001" customHeight="1">
      <c r="M399" s="119"/>
      <c r="N399" s="119"/>
      <c r="O399" s="165"/>
      <c r="P399" s="180"/>
      <c r="Q399" s="119"/>
    </row>
    <row r="400" spans="13:17" ht="20.100000000000001" customHeight="1">
      <c r="M400" s="119"/>
      <c r="N400" s="119"/>
      <c r="O400" s="165"/>
      <c r="P400" s="180"/>
      <c r="Q400" s="119"/>
    </row>
    <row r="401" spans="13:17" ht="20.100000000000001" customHeight="1">
      <c r="M401" s="119"/>
      <c r="N401" s="119"/>
      <c r="O401" s="165"/>
      <c r="P401" s="180"/>
      <c r="Q401" s="119"/>
    </row>
    <row r="402" spans="13:17" ht="20.100000000000001" customHeight="1">
      <c r="M402" s="119"/>
      <c r="N402" s="119"/>
      <c r="O402" s="165"/>
      <c r="P402" s="180"/>
      <c r="Q402" s="119"/>
    </row>
    <row r="403" spans="13:17" ht="20.100000000000001" customHeight="1">
      <c r="M403" s="119"/>
      <c r="N403" s="119"/>
      <c r="O403" s="165"/>
      <c r="P403" s="180"/>
      <c r="Q403" s="119"/>
    </row>
    <row r="404" spans="13:17" ht="20.100000000000001" customHeight="1">
      <c r="M404" s="119"/>
      <c r="N404" s="119"/>
      <c r="O404" s="165"/>
      <c r="P404" s="180"/>
      <c r="Q404" s="119"/>
    </row>
    <row r="405" spans="13:17" ht="20.100000000000001" customHeight="1">
      <c r="M405" s="119"/>
      <c r="N405" s="119"/>
      <c r="O405" s="165"/>
      <c r="P405" s="180"/>
      <c r="Q405" s="119"/>
    </row>
    <row r="406" spans="13:17" ht="20.100000000000001" customHeight="1">
      <c r="M406" s="119"/>
      <c r="N406" s="119"/>
      <c r="O406" s="165"/>
      <c r="P406" s="180"/>
      <c r="Q406" s="119"/>
    </row>
    <row r="407" spans="13:17" ht="20.100000000000001" customHeight="1">
      <c r="M407" s="119"/>
      <c r="N407" s="119"/>
      <c r="O407" s="165"/>
      <c r="P407" s="180"/>
      <c r="Q407" s="119"/>
    </row>
    <row r="408" spans="13:17" ht="20.100000000000001" customHeight="1">
      <c r="M408" s="119"/>
      <c r="N408" s="119"/>
      <c r="O408" s="165"/>
      <c r="P408" s="180"/>
      <c r="Q408" s="119"/>
    </row>
    <row r="409" spans="13:17" ht="20.100000000000001" customHeight="1">
      <c r="M409" s="119"/>
      <c r="N409" s="119"/>
      <c r="O409" s="165"/>
      <c r="P409" s="180"/>
      <c r="Q409" s="119"/>
    </row>
    <row r="410" spans="13:17" ht="20.100000000000001" customHeight="1">
      <c r="M410" s="119"/>
      <c r="N410" s="119"/>
      <c r="O410" s="165"/>
      <c r="P410" s="180"/>
      <c r="Q410" s="119"/>
    </row>
    <row r="411" spans="13:17" ht="20.100000000000001" customHeight="1">
      <c r="M411" s="119"/>
      <c r="N411" s="119"/>
      <c r="O411" s="165"/>
      <c r="P411" s="180"/>
      <c r="Q411" s="119"/>
    </row>
    <row r="412" spans="13:17" ht="20.100000000000001" customHeight="1">
      <c r="M412" s="119"/>
      <c r="N412" s="119"/>
      <c r="O412" s="165"/>
      <c r="P412" s="180"/>
      <c r="Q412" s="119"/>
    </row>
    <row r="413" spans="13:17" ht="20.100000000000001" customHeight="1">
      <c r="M413" s="119"/>
      <c r="N413" s="119"/>
      <c r="O413" s="165"/>
      <c r="P413" s="180"/>
      <c r="Q413" s="119"/>
    </row>
    <row r="414" spans="13:17" ht="20.100000000000001" customHeight="1">
      <c r="M414" s="119"/>
      <c r="N414" s="119"/>
      <c r="O414" s="165"/>
      <c r="P414" s="180"/>
      <c r="Q414" s="119"/>
    </row>
    <row r="415" spans="13:17" ht="20.100000000000001" customHeight="1">
      <c r="M415" s="119"/>
      <c r="N415" s="119"/>
      <c r="O415" s="165"/>
      <c r="P415" s="180"/>
      <c r="Q415" s="119"/>
    </row>
    <row r="416" spans="13:17" ht="20.100000000000001" customHeight="1">
      <c r="M416" s="119"/>
      <c r="N416" s="119"/>
      <c r="O416" s="165"/>
      <c r="P416" s="180"/>
      <c r="Q416" s="119"/>
    </row>
    <row r="417" spans="13:17" ht="20.100000000000001" customHeight="1">
      <c r="M417" s="119"/>
      <c r="N417" s="119"/>
      <c r="O417" s="165"/>
      <c r="P417" s="180"/>
      <c r="Q417" s="119"/>
    </row>
    <row r="418" spans="13:17" ht="20.100000000000001" customHeight="1">
      <c r="M418" s="119"/>
      <c r="N418" s="119"/>
      <c r="O418" s="165"/>
      <c r="P418" s="180"/>
      <c r="Q418" s="119"/>
    </row>
    <row r="419" spans="13:17" ht="20.100000000000001" customHeight="1">
      <c r="M419" s="119"/>
      <c r="N419" s="119"/>
      <c r="O419" s="165"/>
      <c r="P419" s="180"/>
      <c r="Q419" s="119"/>
    </row>
    <row r="420" spans="13:17" ht="20.100000000000001" customHeight="1">
      <c r="M420" s="119"/>
      <c r="N420" s="119"/>
      <c r="O420" s="165"/>
      <c r="P420" s="180"/>
      <c r="Q420" s="119"/>
    </row>
    <row r="421" spans="13:17" ht="20.100000000000001" customHeight="1">
      <c r="M421" s="119"/>
      <c r="N421" s="119"/>
      <c r="O421" s="165"/>
      <c r="P421" s="180"/>
      <c r="Q421" s="119"/>
    </row>
    <row r="422" spans="13:17" ht="20.100000000000001" customHeight="1">
      <c r="M422" s="119"/>
      <c r="N422" s="119"/>
      <c r="O422" s="165"/>
      <c r="P422" s="180"/>
      <c r="Q422" s="119"/>
    </row>
    <row r="423" spans="13:17" ht="20.100000000000001" customHeight="1">
      <c r="M423" s="119"/>
      <c r="N423" s="119"/>
      <c r="O423" s="165"/>
      <c r="P423" s="180"/>
      <c r="Q423" s="119"/>
    </row>
    <row r="424" spans="13:17" ht="20.100000000000001" customHeight="1">
      <c r="M424" s="119"/>
      <c r="N424" s="119"/>
      <c r="O424" s="165"/>
      <c r="Q424" s="119"/>
    </row>
    <row r="425" spans="13:17" ht="20.100000000000001" customHeight="1">
      <c r="M425" s="119"/>
      <c r="N425" s="119"/>
      <c r="O425" s="165"/>
      <c r="Q425" s="119"/>
    </row>
    <row r="426" spans="13:17" ht="20.100000000000001" customHeight="1">
      <c r="M426" s="119"/>
      <c r="N426" s="119"/>
      <c r="O426" s="165"/>
      <c r="Q426" s="119"/>
    </row>
    <row r="427" spans="13:17" ht="20.100000000000001" customHeight="1">
      <c r="M427" s="119"/>
      <c r="N427" s="119"/>
      <c r="O427" s="165"/>
      <c r="Q427" s="119"/>
    </row>
    <row r="428" spans="13:17" ht="20.100000000000001" customHeight="1">
      <c r="M428" s="119"/>
      <c r="N428" s="119"/>
      <c r="O428" s="165"/>
      <c r="Q428" s="119"/>
    </row>
    <row r="429" spans="13:17" ht="20.100000000000001" customHeight="1">
      <c r="M429" s="119"/>
      <c r="N429" s="119"/>
      <c r="O429" s="165"/>
      <c r="Q429" s="119"/>
    </row>
    <row r="430" spans="13:17" ht="20.100000000000001" customHeight="1">
      <c r="M430" s="119"/>
      <c r="N430" s="119"/>
      <c r="O430" s="165"/>
      <c r="Q430" s="119"/>
    </row>
    <row r="431" spans="13:17" ht="20.100000000000001" customHeight="1">
      <c r="M431" s="119"/>
      <c r="N431" s="119"/>
      <c r="O431" s="165"/>
      <c r="Q431" s="119"/>
    </row>
    <row r="432" spans="13:17" ht="20.100000000000001" customHeight="1">
      <c r="M432" s="119"/>
      <c r="N432" s="119"/>
      <c r="O432" s="165"/>
      <c r="Q432" s="119"/>
    </row>
    <row r="433" spans="13:17" ht="20.100000000000001" customHeight="1">
      <c r="M433" s="119"/>
      <c r="N433" s="119"/>
      <c r="O433" s="165"/>
      <c r="Q433" s="119"/>
    </row>
    <row r="434" spans="13:17" ht="20.100000000000001" customHeight="1">
      <c r="M434" s="119"/>
      <c r="N434" s="119"/>
      <c r="O434" s="165"/>
      <c r="Q434" s="119"/>
    </row>
    <row r="435" spans="13:17" ht="20.100000000000001" customHeight="1">
      <c r="M435" s="119"/>
      <c r="N435" s="119"/>
      <c r="O435" s="165"/>
      <c r="Q435" s="119"/>
    </row>
    <row r="436" spans="13:17" ht="20.100000000000001" customHeight="1">
      <c r="M436" s="119"/>
      <c r="N436" s="119"/>
      <c r="O436" s="165"/>
      <c r="Q436" s="119"/>
    </row>
    <row r="437" spans="13:17" ht="20.100000000000001" customHeight="1">
      <c r="M437" s="119"/>
      <c r="N437" s="119"/>
      <c r="O437" s="165"/>
      <c r="Q437" s="119"/>
    </row>
    <row r="438" spans="13:17" ht="20.100000000000001" customHeight="1">
      <c r="M438" s="119"/>
      <c r="N438" s="119"/>
      <c r="O438" s="165"/>
      <c r="Q438" s="119"/>
    </row>
    <row r="439" spans="13:17" ht="20.100000000000001" customHeight="1">
      <c r="M439" s="119"/>
      <c r="N439" s="119"/>
      <c r="O439" s="165"/>
      <c r="Q439" s="119"/>
    </row>
    <row r="440" spans="13:17" ht="20.100000000000001" customHeight="1">
      <c r="M440" s="119"/>
      <c r="N440" s="119"/>
      <c r="O440" s="165"/>
      <c r="Q440" s="119"/>
    </row>
    <row r="441" spans="13:17" ht="20.100000000000001" customHeight="1">
      <c r="M441" s="119"/>
      <c r="N441" s="119"/>
      <c r="O441" s="165"/>
      <c r="Q441" s="119"/>
    </row>
    <row r="442" spans="13:17" ht="20.100000000000001" customHeight="1">
      <c r="M442" s="119"/>
      <c r="N442" s="119"/>
      <c r="O442" s="165"/>
      <c r="Q442" s="119"/>
    </row>
    <row r="443" spans="13:17" ht="20.100000000000001" customHeight="1">
      <c r="M443" s="119"/>
      <c r="N443" s="119"/>
      <c r="O443" s="165"/>
      <c r="Q443" s="119"/>
    </row>
    <row r="444" spans="13:17" ht="20.100000000000001" customHeight="1">
      <c r="M444" s="119"/>
      <c r="N444" s="119"/>
      <c r="O444" s="165"/>
      <c r="Q444" s="119"/>
    </row>
    <row r="445" spans="13:17" ht="20.100000000000001" customHeight="1">
      <c r="M445" s="119"/>
      <c r="N445" s="119"/>
      <c r="O445" s="165"/>
      <c r="Q445" s="119"/>
    </row>
    <row r="446" spans="13:17" ht="20.100000000000001" customHeight="1">
      <c r="M446" s="119"/>
      <c r="N446" s="119"/>
      <c r="O446" s="165"/>
      <c r="Q446" s="119"/>
    </row>
    <row r="447" spans="13:17" ht="20.100000000000001" customHeight="1">
      <c r="M447" s="119"/>
      <c r="N447" s="119"/>
      <c r="O447" s="165"/>
      <c r="Q447" s="119"/>
    </row>
    <row r="448" spans="13:17" ht="20.100000000000001" customHeight="1">
      <c r="M448" s="119"/>
      <c r="N448" s="119"/>
      <c r="O448" s="165"/>
      <c r="Q448" s="119"/>
    </row>
    <row r="449" spans="13:17" ht="20.100000000000001" customHeight="1">
      <c r="M449" s="119"/>
      <c r="N449" s="119"/>
      <c r="O449" s="165"/>
      <c r="Q449" s="119"/>
    </row>
    <row r="450" spans="13:17" ht="20.100000000000001" customHeight="1">
      <c r="M450" s="119"/>
      <c r="N450" s="119"/>
      <c r="O450" s="165"/>
      <c r="Q450" s="119"/>
    </row>
    <row r="451" spans="13:17" ht="20.100000000000001" customHeight="1">
      <c r="M451" s="119"/>
      <c r="N451" s="119"/>
      <c r="O451" s="165"/>
      <c r="Q451" s="119"/>
    </row>
    <row r="452" spans="13:17" ht="20.100000000000001" customHeight="1">
      <c r="M452" s="119"/>
      <c r="N452" s="119"/>
      <c r="O452" s="165"/>
      <c r="Q452" s="119"/>
    </row>
    <row r="453" spans="13:17" ht="20.100000000000001" customHeight="1">
      <c r="M453" s="119"/>
      <c r="N453" s="119"/>
      <c r="O453" s="165"/>
      <c r="Q453" s="119"/>
    </row>
    <row r="454" spans="13:17" ht="20.100000000000001" customHeight="1">
      <c r="M454" s="119"/>
      <c r="N454" s="119"/>
      <c r="O454" s="165"/>
      <c r="Q454" s="119"/>
    </row>
    <row r="455" spans="13:17" ht="20.100000000000001" customHeight="1">
      <c r="M455" s="119"/>
      <c r="N455" s="119"/>
      <c r="O455" s="165"/>
      <c r="Q455" s="119"/>
    </row>
    <row r="456" spans="13:17" ht="20.100000000000001" customHeight="1">
      <c r="M456" s="119"/>
      <c r="N456" s="119"/>
      <c r="O456" s="165"/>
      <c r="Q456" s="119"/>
    </row>
    <row r="457" spans="13:17" ht="20.100000000000001" customHeight="1">
      <c r="M457" s="119"/>
      <c r="N457" s="119"/>
      <c r="O457" s="165"/>
      <c r="Q457" s="119"/>
    </row>
    <row r="458" spans="13:17" ht="20.100000000000001" customHeight="1">
      <c r="M458" s="119"/>
      <c r="N458" s="119"/>
      <c r="O458" s="165"/>
      <c r="Q458" s="119"/>
    </row>
    <row r="459" spans="13:17" ht="20.100000000000001" customHeight="1">
      <c r="M459" s="119"/>
      <c r="N459" s="119"/>
      <c r="O459" s="165"/>
      <c r="Q459" s="119"/>
    </row>
    <row r="460" spans="13:17" ht="20.100000000000001" customHeight="1">
      <c r="M460" s="119"/>
      <c r="N460" s="119"/>
      <c r="O460" s="165"/>
      <c r="Q460" s="119"/>
    </row>
    <row r="461" spans="13:17" ht="20.100000000000001" customHeight="1">
      <c r="M461" s="119"/>
      <c r="N461" s="119"/>
      <c r="O461" s="165"/>
      <c r="Q461" s="119"/>
    </row>
    <row r="462" spans="13:17" ht="20.100000000000001" customHeight="1">
      <c r="M462" s="119"/>
      <c r="N462" s="119"/>
      <c r="O462" s="165"/>
      <c r="Q462" s="119"/>
    </row>
    <row r="463" spans="13:17" ht="20.100000000000001" customHeight="1">
      <c r="M463" s="119"/>
      <c r="N463" s="119"/>
      <c r="O463" s="165"/>
      <c r="Q463" s="119"/>
    </row>
    <row r="464" spans="13:17" ht="20.100000000000001" customHeight="1">
      <c r="M464" s="119"/>
      <c r="N464" s="119"/>
      <c r="O464" s="165"/>
      <c r="Q464" s="119"/>
    </row>
    <row r="465" spans="13:17" ht="20.100000000000001" customHeight="1">
      <c r="M465" s="119"/>
      <c r="N465" s="119"/>
      <c r="O465" s="165"/>
      <c r="Q465" s="119"/>
    </row>
    <row r="466" spans="13:17" ht="20.100000000000001" customHeight="1">
      <c r="M466" s="119"/>
      <c r="N466" s="119"/>
      <c r="O466" s="165"/>
      <c r="Q466" s="119"/>
    </row>
    <row r="467" spans="13:17" ht="20.100000000000001" customHeight="1">
      <c r="M467" s="119"/>
      <c r="N467" s="119"/>
      <c r="O467" s="165"/>
      <c r="Q467" s="119"/>
    </row>
    <row r="468" spans="13:17" ht="20.100000000000001" customHeight="1">
      <c r="M468" s="119"/>
      <c r="N468" s="119"/>
      <c r="O468" s="165"/>
      <c r="Q468" s="119"/>
    </row>
    <row r="469" spans="13:17" ht="20.100000000000001" customHeight="1">
      <c r="M469" s="119"/>
      <c r="N469" s="119"/>
      <c r="O469" s="165"/>
      <c r="Q469" s="119"/>
    </row>
    <row r="470" spans="13:17" ht="20.100000000000001" customHeight="1">
      <c r="M470" s="119"/>
      <c r="N470" s="119"/>
      <c r="O470" s="165"/>
      <c r="Q470" s="119"/>
    </row>
    <row r="471" spans="13:17" ht="20.100000000000001" customHeight="1">
      <c r="M471" s="119"/>
      <c r="N471" s="119"/>
      <c r="O471" s="165"/>
      <c r="Q471" s="119"/>
    </row>
    <row r="472" spans="13:17" ht="20.100000000000001" customHeight="1">
      <c r="M472" s="119"/>
      <c r="N472" s="119"/>
      <c r="O472" s="165"/>
      <c r="Q472" s="119"/>
    </row>
    <row r="473" spans="13:17" ht="20.100000000000001" customHeight="1">
      <c r="M473" s="119"/>
      <c r="N473" s="119"/>
      <c r="O473" s="165"/>
      <c r="Q473" s="119"/>
    </row>
    <row r="474" spans="13:17" ht="20.100000000000001" customHeight="1">
      <c r="M474" s="119"/>
      <c r="N474" s="119"/>
      <c r="O474" s="165"/>
      <c r="Q474" s="119"/>
    </row>
    <row r="475" spans="13:17" ht="20.100000000000001" customHeight="1">
      <c r="M475" s="119"/>
      <c r="N475" s="119"/>
      <c r="O475" s="165"/>
      <c r="Q475" s="119"/>
    </row>
    <row r="476" spans="13:17" ht="20.100000000000001" customHeight="1">
      <c r="M476" s="119"/>
      <c r="N476" s="119"/>
      <c r="O476" s="165"/>
      <c r="Q476" s="119"/>
    </row>
    <row r="477" spans="13:17" ht="20.100000000000001" customHeight="1">
      <c r="M477" s="119"/>
      <c r="N477" s="119"/>
      <c r="O477" s="165"/>
      <c r="Q477" s="119"/>
    </row>
    <row r="478" spans="13:17" ht="20.100000000000001" customHeight="1">
      <c r="M478" s="119"/>
      <c r="N478" s="119"/>
      <c r="O478" s="165"/>
      <c r="Q478" s="119"/>
    </row>
    <row r="479" spans="13:17" ht="20.100000000000001" customHeight="1">
      <c r="M479" s="119"/>
      <c r="N479" s="119"/>
      <c r="O479" s="165"/>
      <c r="Q479" s="119"/>
    </row>
    <row r="480" spans="13:17" ht="20.100000000000001" customHeight="1">
      <c r="M480" s="119"/>
      <c r="N480" s="119"/>
      <c r="O480" s="165"/>
      <c r="Q480" s="119"/>
    </row>
    <row r="481" spans="13:17" ht="20.100000000000001" customHeight="1">
      <c r="M481" s="119"/>
      <c r="N481" s="119"/>
      <c r="O481" s="165"/>
      <c r="Q481" s="119"/>
    </row>
    <row r="482" spans="13:17" ht="20.100000000000001" customHeight="1">
      <c r="M482" s="119"/>
      <c r="N482" s="119"/>
      <c r="O482" s="165"/>
      <c r="Q482" s="119"/>
    </row>
    <row r="483" spans="13:17" ht="20.100000000000001" customHeight="1">
      <c r="M483" s="119"/>
      <c r="N483" s="119"/>
      <c r="O483" s="165"/>
      <c r="Q483" s="119"/>
    </row>
    <row r="484" spans="13:17" ht="20.100000000000001" customHeight="1">
      <c r="M484" s="119"/>
      <c r="N484" s="119"/>
      <c r="O484" s="165"/>
      <c r="Q484" s="119"/>
    </row>
    <row r="485" spans="13:17" ht="20.100000000000001" customHeight="1">
      <c r="M485" s="119"/>
      <c r="N485" s="119"/>
      <c r="O485" s="165"/>
      <c r="Q485" s="119"/>
    </row>
    <row r="486" spans="13:17" ht="20.100000000000001" customHeight="1">
      <c r="M486" s="119"/>
      <c r="N486" s="119"/>
      <c r="O486" s="165"/>
      <c r="Q486" s="119"/>
    </row>
    <row r="487" spans="13:17" ht="20.100000000000001" customHeight="1">
      <c r="M487" s="119"/>
      <c r="N487" s="119"/>
      <c r="O487" s="165"/>
      <c r="Q487" s="119"/>
    </row>
    <row r="488" spans="13:17" ht="20.100000000000001" customHeight="1">
      <c r="M488" s="119"/>
      <c r="N488" s="119"/>
      <c r="O488" s="165"/>
      <c r="Q488" s="119"/>
    </row>
    <row r="489" spans="13:17" ht="20.100000000000001" customHeight="1">
      <c r="M489" s="119"/>
      <c r="N489" s="119"/>
      <c r="O489" s="165"/>
      <c r="Q489" s="119"/>
    </row>
    <row r="490" spans="13:17" ht="20.100000000000001" customHeight="1">
      <c r="M490" s="119"/>
      <c r="N490" s="119"/>
      <c r="O490" s="165"/>
      <c r="Q490" s="119"/>
    </row>
    <row r="491" spans="13:17" ht="20.100000000000001" customHeight="1">
      <c r="M491" s="119"/>
      <c r="N491" s="119"/>
      <c r="O491" s="165"/>
      <c r="Q491" s="119"/>
    </row>
    <row r="492" spans="13:17" ht="20.100000000000001" customHeight="1">
      <c r="M492" s="119"/>
      <c r="N492" s="119"/>
      <c r="O492" s="165"/>
      <c r="Q492" s="119"/>
    </row>
    <row r="493" spans="13:17" ht="20.100000000000001" customHeight="1">
      <c r="M493" s="119"/>
      <c r="N493" s="119"/>
      <c r="O493" s="165"/>
      <c r="Q493" s="119"/>
    </row>
    <row r="494" spans="13:17" ht="20.100000000000001" customHeight="1">
      <c r="M494" s="119"/>
      <c r="N494" s="119"/>
      <c r="O494" s="165"/>
      <c r="Q494" s="119"/>
    </row>
    <row r="495" spans="13:17" ht="20.100000000000001" customHeight="1">
      <c r="M495" s="119"/>
      <c r="N495" s="119"/>
      <c r="O495" s="165"/>
      <c r="Q495" s="119"/>
    </row>
    <row r="496" spans="13:17" ht="20.100000000000001" customHeight="1">
      <c r="M496" s="119"/>
      <c r="N496" s="119"/>
      <c r="O496" s="165"/>
      <c r="Q496" s="119"/>
    </row>
    <row r="497" spans="13:17" ht="20.100000000000001" customHeight="1">
      <c r="M497" s="119"/>
      <c r="N497" s="119"/>
      <c r="O497" s="165"/>
      <c r="Q497" s="119"/>
    </row>
    <row r="498" spans="13:17" ht="20.100000000000001" customHeight="1">
      <c r="M498" s="119"/>
      <c r="N498" s="119"/>
      <c r="O498" s="165"/>
      <c r="Q498" s="119"/>
    </row>
    <row r="499" spans="13:17" ht="20.100000000000001" customHeight="1">
      <c r="M499" s="119"/>
      <c r="N499" s="119"/>
      <c r="O499" s="165"/>
      <c r="Q499" s="119"/>
    </row>
    <row r="500" spans="13:17" ht="20.100000000000001" customHeight="1">
      <c r="M500" s="119"/>
      <c r="N500" s="119"/>
      <c r="O500" s="165"/>
      <c r="Q500" s="119"/>
    </row>
    <row r="501" spans="13:17" ht="20.100000000000001" customHeight="1">
      <c r="M501" s="119"/>
      <c r="N501" s="119"/>
      <c r="O501" s="165"/>
      <c r="Q501" s="119"/>
    </row>
    <row r="502" spans="13:17" ht="20.100000000000001" customHeight="1">
      <c r="M502" s="119"/>
      <c r="N502" s="119"/>
      <c r="O502" s="165"/>
      <c r="Q502" s="119"/>
    </row>
    <row r="503" spans="13:17" ht="20.100000000000001" customHeight="1">
      <c r="M503" s="119"/>
      <c r="N503" s="119"/>
      <c r="O503" s="165"/>
      <c r="Q503" s="119"/>
    </row>
    <row r="504" spans="13:17" ht="20.100000000000001" customHeight="1">
      <c r="M504" s="119"/>
      <c r="N504" s="119"/>
      <c r="O504" s="165"/>
      <c r="Q504" s="119"/>
    </row>
    <row r="505" spans="13:17" ht="20.100000000000001" customHeight="1">
      <c r="M505" s="119"/>
      <c r="N505" s="119"/>
      <c r="O505" s="165"/>
      <c r="Q505" s="119"/>
    </row>
    <row r="506" spans="13:17" ht="20.100000000000001" customHeight="1">
      <c r="M506" s="119"/>
      <c r="N506" s="119"/>
      <c r="O506" s="165"/>
      <c r="Q506" s="119"/>
    </row>
    <row r="507" spans="13:17" ht="20.100000000000001" customHeight="1">
      <c r="M507" s="119"/>
      <c r="N507" s="119"/>
      <c r="O507" s="165"/>
      <c r="Q507" s="119"/>
    </row>
    <row r="508" spans="13:17" ht="20.100000000000001" customHeight="1">
      <c r="M508" s="119"/>
      <c r="N508" s="119"/>
      <c r="O508" s="165"/>
      <c r="Q508" s="119"/>
    </row>
    <row r="509" spans="13:17" ht="20.100000000000001" customHeight="1">
      <c r="M509" s="119"/>
      <c r="N509" s="119"/>
      <c r="O509" s="165"/>
      <c r="Q509" s="119"/>
    </row>
    <row r="510" spans="13:17" ht="20.100000000000001" customHeight="1">
      <c r="M510" s="119"/>
      <c r="N510" s="119"/>
      <c r="O510" s="165"/>
      <c r="Q510" s="119"/>
    </row>
    <row r="511" spans="13:17" ht="20.100000000000001" customHeight="1">
      <c r="M511" s="119"/>
      <c r="N511" s="119"/>
      <c r="O511" s="165"/>
      <c r="Q511" s="119"/>
    </row>
    <row r="512" spans="13:17" ht="20.100000000000001" customHeight="1">
      <c r="M512" s="119"/>
      <c r="N512" s="119"/>
      <c r="O512" s="165"/>
      <c r="Q512" s="119"/>
    </row>
    <row r="513" spans="13:17" ht="20.100000000000001" customHeight="1">
      <c r="M513" s="119"/>
      <c r="N513" s="119"/>
      <c r="O513" s="165"/>
      <c r="Q513" s="119"/>
    </row>
    <row r="514" spans="13:17" ht="20.100000000000001" customHeight="1">
      <c r="M514" s="119"/>
      <c r="N514" s="119"/>
      <c r="O514" s="165"/>
      <c r="Q514" s="119"/>
    </row>
    <row r="515" spans="13:17" ht="20.100000000000001" customHeight="1">
      <c r="M515" s="119"/>
      <c r="N515" s="119"/>
      <c r="O515" s="165"/>
      <c r="Q515" s="119"/>
    </row>
    <row r="516" spans="13:17" ht="20.100000000000001" customHeight="1">
      <c r="M516" s="119"/>
      <c r="N516" s="119"/>
      <c r="O516" s="165"/>
      <c r="Q516" s="119"/>
    </row>
    <row r="517" spans="13:17" ht="20.100000000000001" customHeight="1">
      <c r="M517" s="119"/>
      <c r="N517" s="119"/>
      <c r="O517" s="165"/>
      <c r="Q517" s="119"/>
    </row>
    <row r="518" spans="13:17" ht="20.100000000000001" customHeight="1">
      <c r="M518" s="119"/>
      <c r="N518" s="119"/>
      <c r="O518" s="165"/>
      <c r="Q518" s="119"/>
    </row>
    <row r="519" spans="13:17" ht="20.100000000000001" customHeight="1">
      <c r="M519" s="119"/>
      <c r="N519" s="119"/>
      <c r="O519" s="165"/>
      <c r="Q519" s="119"/>
    </row>
    <row r="520" spans="13:17" ht="20.100000000000001" customHeight="1">
      <c r="M520" s="119"/>
      <c r="N520" s="119"/>
      <c r="O520" s="165"/>
      <c r="Q520" s="119"/>
    </row>
    <row r="521" spans="13:17" ht="20.100000000000001" customHeight="1">
      <c r="M521" s="119"/>
      <c r="N521" s="119"/>
      <c r="O521" s="165"/>
      <c r="Q521" s="119"/>
    </row>
    <row r="522" spans="13:17" ht="20.100000000000001" customHeight="1">
      <c r="M522" s="119"/>
      <c r="N522" s="119"/>
      <c r="O522" s="165"/>
      <c r="Q522" s="119"/>
    </row>
    <row r="523" spans="13:17" ht="20.100000000000001" customHeight="1">
      <c r="M523" s="119"/>
      <c r="N523" s="119"/>
      <c r="O523" s="165"/>
      <c r="Q523" s="119"/>
    </row>
    <row r="524" spans="13:17" ht="20.100000000000001" customHeight="1">
      <c r="M524" s="119"/>
      <c r="N524" s="119"/>
      <c r="O524" s="165"/>
      <c r="Q524" s="119"/>
    </row>
    <row r="525" spans="13:17" ht="20.100000000000001" customHeight="1">
      <c r="M525" s="119"/>
      <c r="N525" s="119"/>
      <c r="O525" s="165"/>
      <c r="Q525" s="119"/>
    </row>
    <row r="526" spans="13:17" ht="20.100000000000001" customHeight="1">
      <c r="M526" s="119"/>
      <c r="N526" s="119"/>
      <c r="O526" s="165"/>
      <c r="Q526" s="119"/>
    </row>
    <row r="527" spans="13:17" ht="20.100000000000001" customHeight="1">
      <c r="M527" s="119"/>
      <c r="N527" s="119"/>
      <c r="O527" s="165"/>
      <c r="Q527" s="119"/>
    </row>
    <row r="528" spans="13:17" ht="20.100000000000001" customHeight="1">
      <c r="M528" s="119"/>
      <c r="N528" s="119"/>
      <c r="O528" s="165"/>
      <c r="Q528" s="119"/>
    </row>
    <row r="529" spans="13:17" ht="20.100000000000001" customHeight="1">
      <c r="M529" s="119"/>
      <c r="N529" s="119"/>
      <c r="O529" s="165"/>
      <c r="Q529" s="119"/>
    </row>
    <row r="530" spans="13:17" ht="20.100000000000001" customHeight="1">
      <c r="M530" s="119"/>
      <c r="N530" s="119"/>
      <c r="O530" s="165"/>
      <c r="Q530" s="119"/>
    </row>
    <row r="531" spans="13:17" ht="20.100000000000001" customHeight="1">
      <c r="M531" s="119"/>
      <c r="N531" s="119"/>
      <c r="O531" s="165"/>
      <c r="Q531" s="119"/>
    </row>
    <row r="532" spans="13:17" ht="20.100000000000001" customHeight="1">
      <c r="M532" s="119"/>
      <c r="N532" s="119"/>
      <c r="O532" s="165"/>
      <c r="Q532" s="119"/>
    </row>
    <row r="533" spans="13:17" ht="20.100000000000001" customHeight="1">
      <c r="M533" s="119"/>
      <c r="N533" s="119"/>
      <c r="O533" s="165"/>
      <c r="Q533" s="119"/>
    </row>
    <row r="534" spans="13:17" ht="20.100000000000001" customHeight="1">
      <c r="M534" s="119"/>
      <c r="N534" s="119"/>
      <c r="O534" s="165"/>
      <c r="Q534" s="119"/>
    </row>
    <row r="535" spans="13:17" ht="20.100000000000001" customHeight="1">
      <c r="M535" s="119"/>
      <c r="N535" s="119"/>
      <c r="O535" s="165"/>
      <c r="Q535" s="119"/>
    </row>
    <row r="536" spans="13:17" ht="20.100000000000001" customHeight="1">
      <c r="M536" s="119"/>
      <c r="N536" s="119"/>
      <c r="O536" s="165"/>
      <c r="Q536" s="119"/>
    </row>
    <row r="537" spans="13:17" ht="20.100000000000001" customHeight="1">
      <c r="M537" s="119"/>
      <c r="N537" s="119"/>
      <c r="O537" s="165"/>
      <c r="Q537" s="119"/>
    </row>
    <row r="538" spans="13:17" ht="20.100000000000001" customHeight="1">
      <c r="M538" s="119"/>
      <c r="N538" s="119"/>
      <c r="O538" s="165"/>
      <c r="Q538" s="119"/>
    </row>
    <row r="539" spans="13:17" ht="20.100000000000001" customHeight="1">
      <c r="M539" s="119"/>
      <c r="N539" s="119"/>
      <c r="O539" s="165"/>
      <c r="Q539" s="119"/>
    </row>
    <row r="540" spans="13:17" ht="20.100000000000001" customHeight="1">
      <c r="M540" s="119"/>
      <c r="N540" s="119"/>
      <c r="O540" s="165"/>
      <c r="Q540" s="119"/>
    </row>
    <row r="541" spans="13:17" ht="20.100000000000001" customHeight="1">
      <c r="M541" s="119"/>
      <c r="N541" s="119"/>
      <c r="O541" s="165"/>
      <c r="Q541" s="119"/>
    </row>
    <row r="542" spans="13:17" ht="20.100000000000001" customHeight="1">
      <c r="M542" s="119"/>
      <c r="N542" s="119"/>
      <c r="O542" s="165"/>
      <c r="Q542" s="119"/>
    </row>
    <row r="543" spans="13:17" ht="20.100000000000001" customHeight="1">
      <c r="M543" s="119"/>
      <c r="N543" s="119"/>
      <c r="O543" s="165"/>
      <c r="Q543" s="119"/>
    </row>
    <row r="544" spans="13:17" ht="20.100000000000001" customHeight="1">
      <c r="M544" s="119"/>
      <c r="N544" s="119"/>
      <c r="O544" s="165"/>
      <c r="Q544" s="119"/>
    </row>
    <row r="545" spans="13:17" ht="20.100000000000001" customHeight="1">
      <c r="M545" s="119"/>
      <c r="N545" s="119"/>
      <c r="O545" s="165"/>
      <c r="Q545" s="119"/>
    </row>
    <row r="546" spans="13:17" ht="20.100000000000001" customHeight="1">
      <c r="M546" s="119"/>
      <c r="N546" s="119"/>
      <c r="O546" s="165"/>
      <c r="Q546" s="119"/>
    </row>
    <row r="547" spans="13:17" ht="20.100000000000001" customHeight="1">
      <c r="M547" s="119"/>
      <c r="N547" s="119"/>
      <c r="O547" s="165"/>
      <c r="Q547" s="119"/>
    </row>
    <row r="548" spans="13:17" ht="20.100000000000001" customHeight="1">
      <c r="M548" s="119"/>
      <c r="N548" s="119"/>
      <c r="O548" s="165"/>
      <c r="Q548" s="119"/>
    </row>
    <row r="549" spans="13:17" ht="20.100000000000001" customHeight="1">
      <c r="M549" s="119"/>
      <c r="N549" s="119"/>
      <c r="O549" s="165"/>
      <c r="Q549" s="119"/>
    </row>
    <row r="550" spans="13:17" ht="20.100000000000001" customHeight="1">
      <c r="M550" s="119"/>
      <c r="N550" s="119"/>
      <c r="O550" s="165"/>
      <c r="Q550" s="119"/>
    </row>
    <row r="551" spans="13:17" ht="20.100000000000001" customHeight="1">
      <c r="M551" s="119"/>
      <c r="N551" s="119"/>
      <c r="O551" s="165"/>
      <c r="Q551" s="119"/>
    </row>
    <row r="552" spans="13:17" ht="20.100000000000001" customHeight="1">
      <c r="M552" s="119"/>
      <c r="N552" s="119"/>
      <c r="O552" s="165"/>
      <c r="Q552" s="119"/>
    </row>
    <row r="553" spans="13:17" ht="20.100000000000001" customHeight="1">
      <c r="M553" s="119"/>
      <c r="N553" s="119"/>
      <c r="O553" s="165"/>
      <c r="Q553" s="119"/>
    </row>
    <row r="554" spans="13:17" ht="20.100000000000001" customHeight="1">
      <c r="M554" s="119"/>
      <c r="N554" s="119"/>
      <c r="O554" s="165"/>
      <c r="Q554" s="119"/>
    </row>
    <row r="555" spans="13:17" ht="20.100000000000001" customHeight="1">
      <c r="M555" s="119"/>
      <c r="N555" s="119"/>
      <c r="O555" s="165"/>
      <c r="Q555" s="119"/>
    </row>
    <row r="556" spans="13:17" ht="20.100000000000001" customHeight="1">
      <c r="M556" s="119"/>
      <c r="N556" s="119"/>
      <c r="O556" s="165"/>
      <c r="Q556" s="119"/>
    </row>
    <row r="557" spans="13:17" ht="20.100000000000001" customHeight="1">
      <c r="M557" s="119"/>
      <c r="N557" s="119"/>
      <c r="O557" s="165"/>
      <c r="Q557" s="119"/>
    </row>
    <row r="558" spans="13:17" ht="20.100000000000001" customHeight="1">
      <c r="M558" s="119"/>
      <c r="N558" s="119"/>
      <c r="O558" s="165"/>
      <c r="Q558" s="119"/>
    </row>
    <row r="559" spans="13:17" ht="20.100000000000001" customHeight="1">
      <c r="M559" s="119"/>
      <c r="N559" s="119"/>
      <c r="O559" s="165"/>
      <c r="Q559" s="119"/>
    </row>
    <row r="560" spans="13:17" ht="20.100000000000001" customHeight="1">
      <c r="M560" s="119"/>
      <c r="N560" s="119"/>
      <c r="O560" s="165"/>
      <c r="Q560" s="119"/>
    </row>
    <row r="561" spans="13:17" ht="20.100000000000001" customHeight="1">
      <c r="M561" s="119"/>
      <c r="N561" s="119"/>
      <c r="O561" s="165"/>
      <c r="Q561" s="119"/>
    </row>
    <row r="562" spans="13:17" ht="20.100000000000001" customHeight="1">
      <c r="M562" s="119"/>
      <c r="N562" s="119"/>
      <c r="O562" s="165"/>
      <c r="Q562" s="119"/>
    </row>
    <row r="563" spans="13:17" ht="20.100000000000001" customHeight="1">
      <c r="M563" s="119"/>
      <c r="N563" s="119"/>
      <c r="O563" s="165"/>
      <c r="Q563" s="119"/>
    </row>
    <row r="564" spans="13:17" ht="20.100000000000001" customHeight="1">
      <c r="M564" s="119"/>
      <c r="N564" s="119"/>
      <c r="O564" s="165"/>
      <c r="Q564" s="119"/>
    </row>
    <row r="565" spans="13:17" ht="20.100000000000001" customHeight="1">
      <c r="M565" s="119"/>
      <c r="N565" s="119"/>
      <c r="O565" s="165"/>
      <c r="Q565" s="119"/>
    </row>
    <row r="566" spans="13:17" ht="20.100000000000001" customHeight="1">
      <c r="M566" s="119"/>
      <c r="N566" s="119"/>
      <c r="O566" s="165"/>
      <c r="Q566" s="119"/>
    </row>
    <row r="567" spans="13:17" ht="20.100000000000001" customHeight="1">
      <c r="M567" s="119"/>
      <c r="N567" s="119"/>
      <c r="O567" s="165"/>
      <c r="Q567" s="119"/>
    </row>
    <row r="568" spans="13:17" ht="20.100000000000001" customHeight="1">
      <c r="M568" s="119"/>
      <c r="N568" s="119"/>
      <c r="O568" s="165"/>
      <c r="Q568" s="119"/>
    </row>
    <row r="569" spans="13:17" ht="20.100000000000001" customHeight="1">
      <c r="M569" s="119"/>
      <c r="N569" s="119"/>
      <c r="O569" s="165"/>
      <c r="Q569" s="119"/>
    </row>
    <row r="570" spans="13:17" ht="20.100000000000001" customHeight="1">
      <c r="M570" s="119"/>
      <c r="N570" s="119"/>
      <c r="O570" s="165"/>
      <c r="Q570" s="119"/>
    </row>
    <row r="571" spans="13:17" ht="20.100000000000001" customHeight="1">
      <c r="M571" s="119"/>
      <c r="N571" s="119"/>
      <c r="O571" s="165"/>
      <c r="Q571" s="119"/>
    </row>
    <row r="572" spans="13:17" ht="20.100000000000001" customHeight="1">
      <c r="M572" s="119"/>
      <c r="N572" s="119"/>
      <c r="O572" s="165"/>
      <c r="Q572" s="119"/>
    </row>
    <row r="573" spans="13:17" ht="20.100000000000001" customHeight="1">
      <c r="M573" s="119"/>
      <c r="N573" s="119"/>
      <c r="O573" s="165"/>
      <c r="Q573" s="119"/>
    </row>
    <row r="574" spans="13:17" ht="20.100000000000001" customHeight="1">
      <c r="M574" s="119"/>
      <c r="N574" s="119"/>
      <c r="O574" s="165"/>
      <c r="Q574" s="119"/>
    </row>
    <row r="575" spans="13:17" ht="20.100000000000001" customHeight="1">
      <c r="M575" s="119"/>
      <c r="N575" s="119"/>
      <c r="O575" s="165"/>
      <c r="Q575" s="119"/>
    </row>
    <row r="576" spans="13:17" ht="20.100000000000001" customHeight="1">
      <c r="M576" s="119"/>
      <c r="N576" s="119"/>
      <c r="O576" s="165"/>
      <c r="Q576" s="119"/>
    </row>
    <row r="577" spans="13:17" ht="20.100000000000001" customHeight="1">
      <c r="M577" s="119"/>
      <c r="N577" s="119"/>
      <c r="O577" s="165"/>
      <c r="Q577" s="119"/>
    </row>
    <row r="578" spans="13:17" ht="20.100000000000001" customHeight="1">
      <c r="M578" s="119"/>
      <c r="N578" s="119"/>
      <c r="O578" s="165"/>
      <c r="Q578" s="119"/>
    </row>
    <row r="579" spans="13:17" ht="20.100000000000001" customHeight="1">
      <c r="M579" s="119"/>
      <c r="N579" s="119"/>
      <c r="O579" s="165"/>
      <c r="Q579" s="119"/>
    </row>
    <row r="580" spans="13:17" ht="20.100000000000001" customHeight="1">
      <c r="M580" s="119"/>
      <c r="N580" s="119"/>
      <c r="O580" s="165"/>
      <c r="Q580" s="119"/>
    </row>
    <row r="581" spans="13:17" ht="20.100000000000001" customHeight="1">
      <c r="M581" s="119"/>
      <c r="N581" s="119"/>
      <c r="O581" s="165"/>
      <c r="Q581" s="119"/>
    </row>
    <row r="582" spans="13:17" ht="20.100000000000001" customHeight="1">
      <c r="M582" s="119"/>
      <c r="N582" s="119"/>
      <c r="O582" s="165"/>
      <c r="Q582" s="119"/>
    </row>
    <row r="583" spans="13:17" ht="20.100000000000001" customHeight="1">
      <c r="M583" s="119"/>
      <c r="N583" s="119"/>
      <c r="O583" s="165"/>
      <c r="Q583" s="119"/>
    </row>
    <row r="584" spans="13:17" ht="20.100000000000001" customHeight="1">
      <c r="M584" s="119"/>
      <c r="N584" s="119"/>
      <c r="O584" s="165"/>
      <c r="Q584" s="119"/>
    </row>
    <row r="585" spans="13:17" ht="20.100000000000001" customHeight="1">
      <c r="M585" s="119"/>
      <c r="N585" s="119"/>
      <c r="O585" s="165"/>
      <c r="Q585" s="119"/>
    </row>
    <row r="586" spans="13:17" ht="20.100000000000001" customHeight="1">
      <c r="M586" s="119"/>
      <c r="N586" s="119"/>
      <c r="O586" s="165"/>
      <c r="Q586" s="119"/>
    </row>
  </sheetData>
  <mergeCells count="108">
    <mergeCell ref="A1:O1"/>
    <mergeCell ref="A3:M3"/>
    <mergeCell ref="N3:O3"/>
    <mergeCell ref="A4:L4"/>
    <mergeCell ref="M4:M5"/>
    <mergeCell ref="N4:N5"/>
    <mergeCell ref="O4:O5"/>
    <mergeCell ref="C9:F9"/>
    <mergeCell ref="G9:L9"/>
    <mergeCell ref="E10:H10"/>
    <mergeCell ref="I10:L10"/>
    <mergeCell ref="E11:J11"/>
    <mergeCell ref="E12:I12"/>
    <mergeCell ref="J12:K12"/>
    <mergeCell ref="Q4:Q5"/>
    <mergeCell ref="A5:L5"/>
    <mergeCell ref="A6:L6"/>
    <mergeCell ref="A7:D7"/>
    <mergeCell ref="E7:L7"/>
    <mergeCell ref="B8:E8"/>
    <mergeCell ref="F8:L8"/>
    <mergeCell ref="E16:I16"/>
    <mergeCell ref="J16:K16"/>
    <mergeCell ref="E17:I17"/>
    <mergeCell ref="J17:K17"/>
    <mergeCell ref="E18:I18"/>
    <mergeCell ref="J18:K18"/>
    <mergeCell ref="E13:I13"/>
    <mergeCell ref="J13:K13"/>
    <mergeCell ref="E14:I14"/>
    <mergeCell ref="J14:K14"/>
    <mergeCell ref="E15:I15"/>
    <mergeCell ref="J15:K15"/>
    <mergeCell ref="E22:I22"/>
    <mergeCell ref="J22:K22"/>
    <mergeCell ref="E23:I23"/>
    <mergeCell ref="J23:K23"/>
    <mergeCell ref="E24:I24"/>
    <mergeCell ref="J24:K24"/>
    <mergeCell ref="E19:I19"/>
    <mergeCell ref="J19:K19"/>
    <mergeCell ref="E20:I20"/>
    <mergeCell ref="J20:K20"/>
    <mergeCell ref="E21:I21"/>
    <mergeCell ref="J21:K21"/>
    <mergeCell ref="E28:I28"/>
    <mergeCell ref="J28:K28"/>
    <mergeCell ref="E29:I29"/>
    <mergeCell ref="J29:K29"/>
    <mergeCell ref="E30:I30"/>
    <mergeCell ref="J30:K30"/>
    <mergeCell ref="E25:I25"/>
    <mergeCell ref="J25:K25"/>
    <mergeCell ref="E26:I26"/>
    <mergeCell ref="J26:K26"/>
    <mergeCell ref="E27:I27"/>
    <mergeCell ref="J27:K27"/>
    <mergeCell ref="E34:I34"/>
    <mergeCell ref="J34:K34"/>
    <mergeCell ref="E35:I35"/>
    <mergeCell ref="J35:K35"/>
    <mergeCell ref="E36:I36"/>
    <mergeCell ref="J36:K36"/>
    <mergeCell ref="E31:I31"/>
    <mergeCell ref="J31:K31"/>
    <mergeCell ref="E32:I32"/>
    <mergeCell ref="J32:K32"/>
    <mergeCell ref="E33:I33"/>
    <mergeCell ref="J33:K33"/>
    <mergeCell ref="E40:I40"/>
    <mergeCell ref="J40:K40"/>
    <mergeCell ref="E41:I41"/>
    <mergeCell ref="J41:K41"/>
    <mergeCell ref="E42:I42"/>
    <mergeCell ref="J42:K42"/>
    <mergeCell ref="E37:I37"/>
    <mergeCell ref="J37:K37"/>
    <mergeCell ref="E38:I38"/>
    <mergeCell ref="J38:K38"/>
    <mergeCell ref="E39:I39"/>
    <mergeCell ref="J39:K39"/>
    <mergeCell ref="E47:I47"/>
    <mergeCell ref="J47:K47"/>
    <mergeCell ref="E48:I48"/>
    <mergeCell ref="J48:K48"/>
    <mergeCell ref="E49:I49"/>
    <mergeCell ref="J49:K49"/>
    <mergeCell ref="C43:F43"/>
    <mergeCell ref="G43:L43"/>
    <mergeCell ref="E44:H44"/>
    <mergeCell ref="I44:L44"/>
    <mergeCell ref="E45:J45"/>
    <mergeCell ref="E46:I46"/>
    <mergeCell ref="J46:K46"/>
    <mergeCell ref="E57:I57"/>
    <mergeCell ref="J57:K57"/>
    <mergeCell ref="E53:J53"/>
    <mergeCell ref="E54:I54"/>
    <mergeCell ref="J54:K54"/>
    <mergeCell ref="E55:J55"/>
    <mergeCell ref="E56:I56"/>
    <mergeCell ref="J56:K56"/>
    <mergeCell ref="E50:I50"/>
    <mergeCell ref="J50:K50"/>
    <mergeCell ref="C51:F51"/>
    <mergeCell ref="G51:L51"/>
    <mergeCell ref="E52:H52"/>
    <mergeCell ref="I52:L52"/>
  </mergeCells>
  <phoneticPr fontId="2" type="noConversion"/>
  <printOptions horizontalCentered="1"/>
  <pageMargins left="0.70866141732283472" right="0.70866141732283472" top="1.1417322834645669" bottom="1.1417322834645669" header="0.31496062992125984" footer="0.31496062992125984"/>
  <pageSetup paperSize="9" scale="64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06"/>
  <sheetViews>
    <sheetView showGridLines="0" zoomScaleNormal="100" workbookViewId="0">
      <selection activeCell="E33" sqref="E33:I33"/>
    </sheetView>
  </sheetViews>
  <sheetFormatPr defaultRowHeight="20.100000000000001" customHeight="1"/>
  <cols>
    <col min="1" max="8" width="1.625" style="111" customWidth="1"/>
    <col min="9" max="9" width="37.625" style="111" customWidth="1"/>
    <col min="10" max="10" width="23.625" style="111" customWidth="1"/>
    <col min="11" max="11" width="12.5" style="111" customWidth="1"/>
    <col min="12" max="15" width="12.625" style="111" customWidth="1"/>
    <col min="16" max="16" width="1.625" style="111" hidden="1" customWidth="1"/>
    <col min="17" max="17" width="41.875" style="111" bestFit="1" customWidth="1"/>
    <col min="18" max="245" width="9" style="111"/>
    <col min="246" max="246" width="1.5" style="111" customWidth="1"/>
    <col min="247" max="247" width="0.75" style="111" customWidth="1"/>
    <col min="248" max="253" width="1" style="111" customWidth="1"/>
    <col min="254" max="254" width="0.5" style="111" customWidth="1"/>
    <col min="255" max="255" width="31.25" style="111" customWidth="1"/>
    <col min="256" max="256" width="33.5" style="111" customWidth="1"/>
    <col min="257" max="257" width="2.625" style="111" customWidth="1"/>
    <col min="258" max="258" width="10.375" style="111" customWidth="1"/>
    <col min="259" max="259" width="10.875" style="111" customWidth="1"/>
    <col min="260" max="260" width="14.25" style="111" customWidth="1"/>
    <col min="261" max="261" width="10.875" style="111" customWidth="1"/>
    <col min="262" max="268" width="0" style="111" hidden="1" customWidth="1"/>
    <col min="269" max="269" width="9" style="111"/>
    <col min="270" max="270" width="10.875" style="111" bestFit="1" customWidth="1"/>
    <col min="271" max="501" width="9" style="111"/>
    <col min="502" max="502" width="1.5" style="111" customWidth="1"/>
    <col min="503" max="503" width="0.75" style="111" customWidth="1"/>
    <col min="504" max="509" width="1" style="111" customWidth="1"/>
    <col min="510" max="510" width="0.5" style="111" customWidth="1"/>
    <col min="511" max="511" width="31.25" style="111" customWidth="1"/>
    <col min="512" max="512" width="33.5" style="111" customWidth="1"/>
    <col min="513" max="513" width="2.625" style="111" customWidth="1"/>
    <col min="514" max="514" width="10.375" style="111" customWidth="1"/>
    <col min="515" max="515" width="10.875" style="111" customWidth="1"/>
    <col min="516" max="516" width="14.25" style="111" customWidth="1"/>
    <col min="517" max="517" width="10.875" style="111" customWidth="1"/>
    <col min="518" max="524" width="0" style="111" hidden="1" customWidth="1"/>
    <col min="525" max="525" width="9" style="111"/>
    <col min="526" max="526" width="10.875" style="111" bestFit="1" customWidth="1"/>
    <col min="527" max="757" width="9" style="111"/>
    <col min="758" max="758" width="1.5" style="111" customWidth="1"/>
    <col min="759" max="759" width="0.75" style="111" customWidth="1"/>
    <col min="760" max="765" width="1" style="111" customWidth="1"/>
    <col min="766" max="766" width="0.5" style="111" customWidth="1"/>
    <col min="767" max="767" width="31.25" style="111" customWidth="1"/>
    <col min="768" max="768" width="33.5" style="111" customWidth="1"/>
    <col min="769" max="769" width="2.625" style="111" customWidth="1"/>
    <col min="770" max="770" width="10.375" style="111" customWidth="1"/>
    <col min="771" max="771" width="10.875" style="111" customWidth="1"/>
    <col min="772" max="772" width="14.25" style="111" customWidth="1"/>
    <col min="773" max="773" width="10.875" style="111" customWidth="1"/>
    <col min="774" max="780" width="0" style="111" hidden="1" customWidth="1"/>
    <col min="781" max="781" width="9" style="111"/>
    <col min="782" max="782" width="10.875" style="111" bestFit="1" customWidth="1"/>
    <col min="783" max="1013" width="9" style="111"/>
    <col min="1014" max="1014" width="1.5" style="111" customWidth="1"/>
    <col min="1015" max="1015" width="0.75" style="111" customWidth="1"/>
    <col min="1016" max="1021" width="1" style="111" customWidth="1"/>
    <col min="1022" max="1022" width="0.5" style="111" customWidth="1"/>
    <col min="1023" max="1023" width="31.25" style="111" customWidth="1"/>
    <col min="1024" max="1024" width="33.5" style="111" customWidth="1"/>
    <col min="1025" max="1025" width="2.625" style="111" customWidth="1"/>
    <col min="1026" max="1026" width="10.375" style="111" customWidth="1"/>
    <col min="1027" max="1027" width="10.875" style="111" customWidth="1"/>
    <col min="1028" max="1028" width="14.25" style="111" customWidth="1"/>
    <col min="1029" max="1029" width="10.875" style="111" customWidth="1"/>
    <col min="1030" max="1036" width="0" style="111" hidden="1" customWidth="1"/>
    <col min="1037" max="1037" width="9" style="111"/>
    <col min="1038" max="1038" width="10.875" style="111" bestFit="1" customWidth="1"/>
    <col min="1039" max="1269" width="9" style="111"/>
    <col min="1270" max="1270" width="1.5" style="111" customWidth="1"/>
    <col min="1271" max="1271" width="0.75" style="111" customWidth="1"/>
    <col min="1272" max="1277" width="1" style="111" customWidth="1"/>
    <col min="1278" max="1278" width="0.5" style="111" customWidth="1"/>
    <col min="1279" max="1279" width="31.25" style="111" customWidth="1"/>
    <col min="1280" max="1280" width="33.5" style="111" customWidth="1"/>
    <col min="1281" max="1281" width="2.625" style="111" customWidth="1"/>
    <col min="1282" max="1282" width="10.375" style="111" customWidth="1"/>
    <col min="1283" max="1283" width="10.875" style="111" customWidth="1"/>
    <col min="1284" max="1284" width="14.25" style="111" customWidth="1"/>
    <col min="1285" max="1285" width="10.875" style="111" customWidth="1"/>
    <col min="1286" max="1292" width="0" style="111" hidden="1" customWidth="1"/>
    <col min="1293" max="1293" width="9" style="111"/>
    <col min="1294" max="1294" width="10.875" style="111" bestFit="1" customWidth="1"/>
    <col min="1295" max="1525" width="9" style="111"/>
    <col min="1526" max="1526" width="1.5" style="111" customWidth="1"/>
    <col min="1527" max="1527" width="0.75" style="111" customWidth="1"/>
    <col min="1528" max="1533" width="1" style="111" customWidth="1"/>
    <col min="1534" max="1534" width="0.5" style="111" customWidth="1"/>
    <col min="1535" max="1535" width="31.25" style="111" customWidth="1"/>
    <col min="1536" max="1536" width="33.5" style="111" customWidth="1"/>
    <col min="1537" max="1537" width="2.625" style="111" customWidth="1"/>
    <col min="1538" max="1538" width="10.375" style="111" customWidth="1"/>
    <col min="1539" max="1539" width="10.875" style="111" customWidth="1"/>
    <col min="1540" max="1540" width="14.25" style="111" customWidth="1"/>
    <col min="1541" max="1541" width="10.875" style="111" customWidth="1"/>
    <col min="1542" max="1548" width="0" style="111" hidden="1" customWidth="1"/>
    <col min="1549" max="1549" width="9" style="111"/>
    <col min="1550" max="1550" width="10.875" style="111" bestFit="1" customWidth="1"/>
    <col min="1551" max="1781" width="9" style="111"/>
    <col min="1782" max="1782" width="1.5" style="111" customWidth="1"/>
    <col min="1783" max="1783" width="0.75" style="111" customWidth="1"/>
    <col min="1784" max="1789" width="1" style="111" customWidth="1"/>
    <col min="1790" max="1790" width="0.5" style="111" customWidth="1"/>
    <col min="1791" max="1791" width="31.25" style="111" customWidth="1"/>
    <col min="1792" max="1792" width="33.5" style="111" customWidth="1"/>
    <col min="1793" max="1793" width="2.625" style="111" customWidth="1"/>
    <col min="1794" max="1794" width="10.375" style="111" customWidth="1"/>
    <col min="1795" max="1795" width="10.875" style="111" customWidth="1"/>
    <col min="1796" max="1796" width="14.25" style="111" customWidth="1"/>
    <col min="1797" max="1797" width="10.875" style="111" customWidth="1"/>
    <col min="1798" max="1804" width="0" style="111" hidden="1" customWidth="1"/>
    <col min="1805" max="1805" width="9" style="111"/>
    <col min="1806" max="1806" width="10.875" style="111" bestFit="1" customWidth="1"/>
    <col min="1807" max="2037" width="9" style="111"/>
    <col min="2038" max="2038" width="1.5" style="111" customWidth="1"/>
    <col min="2039" max="2039" width="0.75" style="111" customWidth="1"/>
    <col min="2040" max="2045" width="1" style="111" customWidth="1"/>
    <col min="2046" max="2046" width="0.5" style="111" customWidth="1"/>
    <col min="2047" max="2047" width="31.25" style="111" customWidth="1"/>
    <col min="2048" max="2048" width="33.5" style="111" customWidth="1"/>
    <col min="2049" max="2049" width="2.625" style="111" customWidth="1"/>
    <col min="2050" max="2050" width="10.375" style="111" customWidth="1"/>
    <col min="2051" max="2051" width="10.875" style="111" customWidth="1"/>
    <col min="2052" max="2052" width="14.25" style="111" customWidth="1"/>
    <col min="2053" max="2053" width="10.875" style="111" customWidth="1"/>
    <col min="2054" max="2060" width="0" style="111" hidden="1" customWidth="1"/>
    <col min="2061" max="2061" width="9" style="111"/>
    <col min="2062" max="2062" width="10.875" style="111" bestFit="1" customWidth="1"/>
    <col min="2063" max="2293" width="9" style="111"/>
    <col min="2294" max="2294" width="1.5" style="111" customWidth="1"/>
    <col min="2295" max="2295" width="0.75" style="111" customWidth="1"/>
    <col min="2296" max="2301" width="1" style="111" customWidth="1"/>
    <col min="2302" max="2302" width="0.5" style="111" customWidth="1"/>
    <col min="2303" max="2303" width="31.25" style="111" customWidth="1"/>
    <col min="2304" max="2304" width="33.5" style="111" customWidth="1"/>
    <col min="2305" max="2305" width="2.625" style="111" customWidth="1"/>
    <col min="2306" max="2306" width="10.375" style="111" customWidth="1"/>
    <col min="2307" max="2307" width="10.875" style="111" customWidth="1"/>
    <col min="2308" max="2308" width="14.25" style="111" customWidth="1"/>
    <col min="2309" max="2309" width="10.875" style="111" customWidth="1"/>
    <col min="2310" max="2316" width="0" style="111" hidden="1" customWidth="1"/>
    <col min="2317" max="2317" width="9" style="111"/>
    <col min="2318" max="2318" width="10.875" style="111" bestFit="1" customWidth="1"/>
    <col min="2319" max="2549" width="9" style="111"/>
    <col min="2550" max="2550" width="1.5" style="111" customWidth="1"/>
    <col min="2551" max="2551" width="0.75" style="111" customWidth="1"/>
    <col min="2552" max="2557" width="1" style="111" customWidth="1"/>
    <col min="2558" max="2558" width="0.5" style="111" customWidth="1"/>
    <col min="2559" max="2559" width="31.25" style="111" customWidth="1"/>
    <col min="2560" max="2560" width="33.5" style="111" customWidth="1"/>
    <col min="2561" max="2561" width="2.625" style="111" customWidth="1"/>
    <col min="2562" max="2562" width="10.375" style="111" customWidth="1"/>
    <col min="2563" max="2563" width="10.875" style="111" customWidth="1"/>
    <col min="2564" max="2564" width="14.25" style="111" customWidth="1"/>
    <col min="2565" max="2565" width="10.875" style="111" customWidth="1"/>
    <col min="2566" max="2572" width="0" style="111" hidden="1" customWidth="1"/>
    <col min="2573" max="2573" width="9" style="111"/>
    <col min="2574" max="2574" width="10.875" style="111" bestFit="1" customWidth="1"/>
    <col min="2575" max="2805" width="9" style="111"/>
    <col min="2806" max="2806" width="1.5" style="111" customWidth="1"/>
    <col min="2807" max="2807" width="0.75" style="111" customWidth="1"/>
    <col min="2808" max="2813" width="1" style="111" customWidth="1"/>
    <col min="2814" max="2814" width="0.5" style="111" customWidth="1"/>
    <col min="2815" max="2815" width="31.25" style="111" customWidth="1"/>
    <col min="2816" max="2816" width="33.5" style="111" customWidth="1"/>
    <col min="2817" max="2817" width="2.625" style="111" customWidth="1"/>
    <col min="2818" max="2818" width="10.375" style="111" customWidth="1"/>
    <col min="2819" max="2819" width="10.875" style="111" customWidth="1"/>
    <col min="2820" max="2820" width="14.25" style="111" customWidth="1"/>
    <col min="2821" max="2821" width="10.875" style="111" customWidth="1"/>
    <col min="2822" max="2828" width="0" style="111" hidden="1" customWidth="1"/>
    <col min="2829" max="2829" width="9" style="111"/>
    <col min="2830" max="2830" width="10.875" style="111" bestFit="1" customWidth="1"/>
    <col min="2831" max="3061" width="9" style="111"/>
    <col min="3062" max="3062" width="1.5" style="111" customWidth="1"/>
    <col min="3063" max="3063" width="0.75" style="111" customWidth="1"/>
    <col min="3064" max="3069" width="1" style="111" customWidth="1"/>
    <col min="3070" max="3070" width="0.5" style="111" customWidth="1"/>
    <col min="3071" max="3071" width="31.25" style="111" customWidth="1"/>
    <col min="3072" max="3072" width="33.5" style="111" customWidth="1"/>
    <col min="3073" max="3073" width="2.625" style="111" customWidth="1"/>
    <col min="3074" max="3074" width="10.375" style="111" customWidth="1"/>
    <col min="3075" max="3075" width="10.875" style="111" customWidth="1"/>
    <col min="3076" max="3076" width="14.25" style="111" customWidth="1"/>
    <col min="3077" max="3077" width="10.875" style="111" customWidth="1"/>
    <col min="3078" max="3084" width="0" style="111" hidden="1" customWidth="1"/>
    <col min="3085" max="3085" width="9" style="111"/>
    <col min="3086" max="3086" width="10.875" style="111" bestFit="1" customWidth="1"/>
    <col min="3087" max="3317" width="9" style="111"/>
    <col min="3318" max="3318" width="1.5" style="111" customWidth="1"/>
    <col min="3319" max="3319" width="0.75" style="111" customWidth="1"/>
    <col min="3320" max="3325" width="1" style="111" customWidth="1"/>
    <col min="3326" max="3326" width="0.5" style="111" customWidth="1"/>
    <col min="3327" max="3327" width="31.25" style="111" customWidth="1"/>
    <col min="3328" max="3328" width="33.5" style="111" customWidth="1"/>
    <col min="3329" max="3329" width="2.625" style="111" customWidth="1"/>
    <col min="3330" max="3330" width="10.375" style="111" customWidth="1"/>
    <col min="3331" max="3331" width="10.875" style="111" customWidth="1"/>
    <col min="3332" max="3332" width="14.25" style="111" customWidth="1"/>
    <col min="3333" max="3333" width="10.875" style="111" customWidth="1"/>
    <col min="3334" max="3340" width="0" style="111" hidden="1" customWidth="1"/>
    <col min="3341" max="3341" width="9" style="111"/>
    <col min="3342" max="3342" width="10.875" style="111" bestFit="1" customWidth="1"/>
    <col min="3343" max="3573" width="9" style="111"/>
    <col min="3574" max="3574" width="1.5" style="111" customWidth="1"/>
    <col min="3575" max="3575" width="0.75" style="111" customWidth="1"/>
    <col min="3576" max="3581" width="1" style="111" customWidth="1"/>
    <col min="3582" max="3582" width="0.5" style="111" customWidth="1"/>
    <col min="3583" max="3583" width="31.25" style="111" customWidth="1"/>
    <col min="3584" max="3584" width="33.5" style="111" customWidth="1"/>
    <col min="3585" max="3585" width="2.625" style="111" customWidth="1"/>
    <col min="3586" max="3586" width="10.375" style="111" customWidth="1"/>
    <col min="3587" max="3587" width="10.875" style="111" customWidth="1"/>
    <col min="3588" max="3588" width="14.25" style="111" customWidth="1"/>
    <col min="3589" max="3589" width="10.875" style="111" customWidth="1"/>
    <col min="3590" max="3596" width="0" style="111" hidden="1" customWidth="1"/>
    <col min="3597" max="3597" width="9" style="111"/>
    <col min="3598" max="3598" width="10.875" style="111" bestFit="1" customWidth="1"/>
    <col min="3599" max="3829" width="9" style="111"/>
    <col min="3830" max="3830" width="1.5" style="111" customWidth="1"/>
    <col min="3831" max="3831" width="0.75" style="111" customWidth="1"/>
    <col min="3832" max="3837" width="1" style="111" customWidth="1"/>
    <col min="3838" max="3838" width="0.5" style="111" customWidth="1"/>
    <col min="3839" max="3839" width="31.25" style="111" customWidth="1"/>
    <col min="3840" max="3840" width="33.5" style="111" customWidth="1"/>
    <col min="3841" max="3841" width="2.625" style="111" customWidth="1"/>
    <col min="3842" max="3842" width="10.375" style="111" customWidth="1"/>
    <col min="3843" max="3843" width="10.875" style="111" customWidth="1"/>
    <col min="3844" max="3844" width="14.25" style="111" customWidth="1"/>
    <col min="3845" max="3845" width="10.875" style="111" customWidth="1"/>
    <col min="3846" max="3852" width="0" style="111" hidden="1" customWidth="1"/>
    <col min="3853" max="3853" width="9" style="111"/>
    <col min="3854" max="3854" width="10.875" style="111" bestFit="1" customWidth="1"/>
    <col min="3855" max="4085" width="9" style="111"/>
    <col min="4086" max="4086" width="1.5" style="111" customWidth="1"/>
    <col min="4087" max="4087" width="0.75" style="111" customWidth="1"/>
    <col min="4088" max="4093" width="1" style="111" customWidth="1"/>
    <col min="4094" max="4094" width="0.5" style="111" customWidth="1"/>
    <col min="4095" max="4095" width="31.25" style="111" customWidth="1"/>
    <col min="4096" max="4096" width="33.5" style="111" customWidth="1"/>
    <col min="4097" max="4097" width="2.625" style="111" customWidth="1"/>
    <col min="4098" max="4098" width="10.375" style="111" customWidth="1"/>
    <col min="4099" max="4099" width="10.875" style="111" customWidth="1"/>
    <col min="4100" max="4100" width="14.25" style="111" customWidth="1"/>
    <col min="4101" max="4101" width="10.875" style="111" customWidth="1"/>
    <col min="4102" max="4108" width="0" style="111" hidden="1" customWidth="1"/>
    <col min="4109" max="4109" width="9" style="111"/>
    <col min="4110" max="4110" width="10.875" style="111" bestFit="1" customWidth="1"/>
    <col min="4111" max="4341" width="9" style="111"/>
    <col min="4342" max="4342" width="1.5" style="111" customWidth="1"/>
    <col min="4343" max="4343" width="0.75" style="111" customWidth="1"/>
    <col min="4344" max="4349" width="1" style="111" customWidth="1"/>
    <col min="4350" max="4350" width="0.5" style="111" customWidth="1"/>
    <col min="4351" max="4351" width="31.25" style="111" customWidth="1"/>
    <col min="4352" max="4352" width="33.5" style="111" customWidth="1"/>
    <col min="4353" max="4353" width="2.625" style="111" customWidth="1"/>
    <col min="4354" max="4354" width="10.375" style="111" customWidth="1"/>
    <col min="4355" max="4355" width="10.875" style="111" customWidth="1"/>
    <col min="4356" max="4356" width="14.25" style="111" customWidth="1"/>
    <col min="4357" max="4357" width="10.875" style="111" customWidth="1"/>
    <col min="4358" max="4364" width="0" style="111" hidden="1" customWidth="1"/>
    <col min="4365" max="4365" width="9" style="111"/>
    <col min="4366" max="4366" width="10.875" style="111" bestFit="1" customWidth="1"/>
    <col min="4367" max="4597" width="9" style="111"/>
    <col min="4598" max="4598" width="1.5" style="111" customWidth="1"/>
    <col min="4599" max="4599" width="0.75" style="111" customWidth="1"/>
    <col min="4600" max="4605" width="1" style="111" customWidth="1"/>
    <col min="4606" max="4606" width="0.5" style="111" customWidth="1"/>
    <col min="4607" max="4607" width="31.25" style="111" customWidth="1"/>
    <col min="4608" max="4608" width="33.5" style="111" customWidth="1"/>
    <col min="4609" max="4609" width="2.625" style="111" customWidth="1"/>
    <col min="4610" max="4610" width="10.375" style="111" customWidth="1"/>
    <col min="4611" max="4611" width="10.875" style="111" customWidth="1"/>
    <col min="4612" max="4612" width="14.25" style="111" customWidth="1"/>
    <col min="4613" max="4613" width="10.875" style="111" customWidth="1"/>
    <col min="4614" max="4620" width="0" style="111" hidden="1" customWidth="1"/>
    <col min="4621" max="4621" width="9" style="111"/>
    <col min="4622" max="4622" width="10.875" style="111" bestFit="1" customWidth="1"/>
    <col min="4623" max="4853" width="9" style="111"/>
    <col min="4854" max="4854" width="1.5" style="111" customWidth="1"/>
    <col min="4855" max="4855" width="0.75" style="111" customWidth="1"/>
    <col min="4856" max="4861" width="1" style="111" customWidth="1"/>
    <col min="4862" max="4862" width="0.5" style="111" customWidth="1"/>
    <col min="4863" max="4863" width="31.25" style="111" customWidth="1"/>
    <col min="4864" max="4864" width="33.5" style="111" customWidth="1"/>
    <col min="4865" max="4865" width="2.625" style="111" customWidth="1"/>
    <col min="4866" max="4866" width="10.375" style="111" customWidth="1"/>
    <col min="4867" max="4867" width="10.875" style="111" customWidth="1"/>
    <col min="4868" max="4868" width="14.25" style="111" customWidth="1"/>
    <col min="4869" max="4869" width="10.875" style="111" customWidth="1"/>
    <col min="4870" max="4876" width="0" style="111" hidden="1" customWidth="1"/>
    <col min="4877" max="4877" width="9" style="111"/>
    <col min="4878" max="4878" width="10.875" style="111" bestFit="1" customWidth="1"/>
    <col min="4879" max="5109" width="9" style="111"/>
    <col min="5110" max="5110" width="1.5" style="111" customWidth="1"/>
    <col min="5111" max="5111" width="0.75" style="111" customWidth="1"/>
    <col min="5112" max="5117" width="1" style="111" customWidth="1"/>
    <col min="5118" max="5118" width="0.5" style="111" customWidth="1"/>
    <col min="5119" max="5119" width="31.25" style="111" customWidth="1"/>
    <col min="5120" max="5120" width="33.5" style="111" customWidth="1"/>
    <col min="5121" max="5121" width="2.625" style="111" customWidth="1"/>
    <col min="5122" max="5122" width="10.375" style="111" customWidth="1"/>
    <col min="5123" max="5123" width="10.875" style="111" customWidth="1"/>
    <col min="5124" max="5124" width="14.25" style="111" customWidth="1"/>
    <col min="5125" max="5125" width="10.875" style="111" customWidth="1"/>
    <col min="5126" max="5132" width="0" style="111" hidden="1" customWidth="1"/>
    <col min="5133" max="5133" width="9" style="111"/>
    <col min="5134" max="5134" width="10.875" style="111" bestFit="1" customWidth="1"/>
    <col min="5135" max="5365" width="9" style="111"/>
    <col min="5366" max="5366" width="1.5" style="111" customWidth="1"/>
    <col min="5367" max="5367" width="0.75" style="111" customWidth="1"/>
    <col min="5368" max="5373" width="1" style="111" customWidth="1"/>
    <col min="5374" max="5374" width="0.5" style="111" customWidth="1"/>
    <col min="5375" max="5375" width="31.25" style="111" customWidth="1"/>
    <col min="5376" max="5376" width="33.5" style="111" customWidth="1"/>
    <col min="5377" max="5377" width="2.625" style="111" customWidth="1"/>
    <col min="5378" max="5378" width="10.375" style="111" customWidth="1"/>
    <col min="5379" max="5379" width="10.875" style="111" customWidth="1"/>
    <col min="5380" max="5380" width="14.25" style="111" customWidth="1"/>
    <col min="5381" max="5381" width="10.875" style="111" customWidth="1"/>
    <col min="5382" max="5388" width="0" style="111" hidden="1" customWidth="1"/>
    <col min="5389" max="5389" width="9" style="111"/>
    <col min="5390" max="5390" width="10.875" style="111" bestFit="1" customWidth="1"/>
    <col min="5391" max="5621" width="9" style="111"/>
    <col min="5622" max="5622" width="1.5" style="111" customWidth="1"/>
    <col min="5623" max="5623" width="0.75" style="111" customWidth="1"/>
    <col min="5624" max="5629" width="1" style="111" customWidth="1"/>
    <col min="5630" max="5630" width="0.5" style="111" customWidth="1"/>
    <col min="5631" max="5631" width="31.25" style="111" customWidth="1"/>
    <col min="5632" max="5632" width="33.5" style="111" customWidth="1"/>
    <col min="5633" max="5633" width="2.625" style="111" customWidth="1"/>
    <col min="5634" max="5634" width="10.375" style="111" customWidth="1"/>
    <col min="5635" max="5635" width="10.875" style="111" customWidth="1"/>
    <col min="5636" max="5636" width="14.25" style="111" customWidth="1"/>
    <col min="5637" max="5637" width="10.875" style="111" customWidth="1"/>
    <col min="5638" max="5644" width="0" style="111" hidden="1" customWidth="1"/>
    <col min="5645" max="5645" width="9" style="111"/>
    <col min="5646" max="5646" width="10.875" style="111" bestFit="1" customWidth="1"/>
    <col min="5647" max="5877" width="9" style="111"/>
    <col min="5878" max="5878" width="1.5" style="111" customWidth="1"/>
    <col min="5879" max="5879" width="0.75" style="111" customWidth="1"/>
    <col min="5880" max="5885" width="1" style="111" customWidth="1"/>
    <col min="5886" max="5886" width="0.5" style="111" customWidth="1"/>
    <col min="5887" max="5887" width="31.25" style="111" customWidth="1"/>
    <col min="5888" max="5888" width="33.5" style="111" customWidth="1"/>
    <col min="5889" max="5889" width="2.625" style="111" customWidth="1"/>
    <col min="5890" max="5890" width="10.375" style="111" customWidth="1"/>
    <col min="5891" max="5891" width="10.875" style="111" customWidth="1"/>
    <col min="5892" max="5892" width="14.25" style="111" customWidth="1"/>
    <col min="5893" max="5893" width="10.875" style="111" customWidth="1"/>
    <col min="5894" max="5900" width="0" style="111" hidden="1" customWidth="1"/>
    <col min="5901" max="5901" width="9" style="111"/>
    <col min="5902" max="5902" width="10.875" style="111" bestFit="1" customWidth="1"/>
    <col min="5903" max="6133" width="9" style="111"/>
    <col min="6134" max="6134" width="1.5" style="111" customWidth="1"/>
    <col min="6135" max="6135" width="0.75" style="111" customWidth="1"/>
    <col min="6136" max="6141" width="1" style="111" customWidth="1"/>
    <col min="6142" max="6142" width="0.5" style="111" customWidth="1"/>
    <col min="6143" max="6143" width="31.25" style="111" customWidth="1"/>
    <col min="6144" max="6144" width="33.5" style="111" customWidth="1"/>
    <col min="6145" max="6145" width="2.625" style="111" customWidth="1"/>
    <col min="6146" max="6146" width="10.375" style="111" customWidth="1"/>
    <col min="6147" max="6147" width="10.875" style="111" customWidth="1"/>
    <col min="6148" max="6148" width="14.25" style="111" customWidth="1"/>
    <col min="6149" max="6149" width="10.875" style="111" customWidth="1"/>
    <col min="6150" max="6156" width="0" style="111" hidden="1" customWidth="1"/>
    <col min="6157" max="6157" width="9" style="111"/>
    <col min="6158" max="6158" width="10.875" style="111" bestFit="1" customWidth="1"/>
    <col min="6159" max="6389" width="9" style="111"/>
    <col min="6390" max="6390" width="1.5" style="111" customWidth="1"/>
    <col min="6391" max="6391" width="0.75" style="111" customWidth="1"/>
    <col min="6392" max="6397" width="1" style="111" customWidth="1"/>
    <col min="6398" max="6398" width="0.5" style="111" customWidth="1"/>
    <col min="6399" max="6399" width="31.25" style="111" customWidth="1"/>
    <col min="6400" max="6400" width="33.5" style="111" customWidth="1"/>
    <col min="6401" max="6401" width="2.625" style="111" customWidth="1"/>
    <col min="6402" max="6402" width="10.375" style="111" customWidth="1"/>
    <col min="6403" max="6403" width="10.875" style="111" customWidth="1"/>
    <col min="6404" max="6404" width="14.25" style="111" customWidth="1"/>
    <col min="6405" max="6405" width="10.875" style="111" customWidth="1"/>
    <col min="6406" max="6412" width="0" style="111" hidden="1" customWidth="1"/>
    <col min="6413" max="6413" width="9" style="111"/>
    <col min="6414" max="6414" width="10.875" style="111" bestFit="1" customWidth="1"/>
    <col min="6415" max="6645" width="9" style="111"/>
    <col min="6646" max="6646" width="1.5" style="111" customWidth="1"/>
    <col min="6647" max="6647" width="0.75" style="111" customWidth="1"/>
    <col min="6648" max="6653" width="1" style="111" customWidth="1"/>
    <col min="6654" max="6654" width="0.5" style="111" customWidth="1"/>
    <col min="6655" max="6655" width="31.25" style="111" customWidth="1"/>
    <col min="6656" max="6656" width="33.5" style="111" customWidth="1"/>
    <col min="6657" max="6657" width="2.625" style="111" customWidth="1"/>
    <col min="6658" max="6658" width="10.375" style="111" customWidth="1"/>
    <col min="6659" max="6659" width="10.875" style="111" customWidth="1"/>
    <col min="6660" max="6660" width="14.25" style="111" customWidth="1"/>
    <col min="6661" max="6661" width="10.875" style="111" customWidth="1"/>
    <col min="6662" max="6668" width="0" style="111" hidden="1" customWidth="1"/>
    <col min="6669" max="6669" width="9" style="111"/>
    <col min="6670" max="6670" width="10.875" style="111" bestFit="1" customWidth="1"/>
    <col min="6671" max="6901" width="9" style="111"/>
    <col min="6902" max="6902" width="1.5" style="111" customWidth="1"/>
    <col min="6903" max="6903" width="0.75" style="111" customWidth="1"/>
    <col min="6904" max="6909" width="1" style="111" customWidth="1"/>
    <col min="6910" max="6910" width="0.5" style="111" customWidth="1"/>
    <col min="6911" max="6911" width="31.25" style="111" customWidth="1"/>
    <col min="6912" max="6912" width="33.5" style="111" customWidth="1"/>
    <col min="6913" max="6913" width="2.625" style="111" customWidth="1"/>
    <col min="6914" max="6914" width="10.375" style="111" customWidth="1"/>
    <col min="6915" max="6915" width="10.875" style="111" customWidth="1"/>
    <col min="6916" max="6916" width="14.25" style="111" customWidth="1"/>
    <col min="6917" max="6917" width="10.875" style="111" customWidth="1"/>
    <col min="6918" max="6924" width="0" style="111" hidden="1" customWidth="1"/>
    <col min="6925" max="6925" width="9" style="111"/>
    <col min="6926" max="6926" width="10.875" style="111" bestFit="1" customWidth="1"/>
    <col min="6927" max="7157" width="9" style="111"/>
    <col min="7158" max="7158" width="1.5" style="111" customWidth="1"/>
    <col min="7159" max="7159" width="0.75" style="111" customWidth="1"/>
    <col min="7160" max="7165" width="1" style="111" customWidth="1"/>
    <col min="7166" max="7166" width="0.5" style="111" customWidth="1"/>
    <col min="7167" max="7167" width="31.25" style="111" customWidth="1"/>
    <col min="7168" max="7168" width="33.5" style="111" customWidth="1"/>
    <col min="7169" max="7169" width="2.625" style="111" customWidth="1"/>
    <col min="7170" max="7170" width="10.375" style="111" customWidth="1"/>
    <col min="7171" max="7171" width="10.875" style="111" customWidth="1"/>
    <col min="7172" max="7172" width="14.25" style="111" customWidth="1"/>
    <col min="7173" max="7173" width="10.875" style="111" customWidth="1"/>
    <col min="7174" max="7180" width="0" style="111" hidden="1" customWidth="1"/>
    <col min="7181" max="7181" width="9" style="111"/>
    <col min="7182" max="7182" width="10.875" style="111" bestFit="1" customWidth="1"/>
    <col min="7183" max="7413" width="9" style="111"/>
    <col min="7414" max="7414" width="1.5" style="111" customWidth="1"/>
    <col min="7415" max="7415" width="0.75" style="111" customWidth="1"/>
    <col min="7416" max="7421" width="1" style="111" customWidth="1"/>
    <col min="7422" max="7422" width="0.5" style="111" customWidth="1"/>
    <col min="7423" max="7423" width="31.25" style="111" customWidth="1"/>
    <col min="7424" max="7424" width="33.5" style="111" customWidth="1"/>
    <col min="7425" max="7425" width="2.625" style="111" customWidth="1"/>
    <col min="7426" max="7426" width="10.375" style="111" customWidth="1"/>
    <col min="7427" max="7427" width="10.875" style="111" customWidth="1"/>
    <col min="7428" max="7428" width="14.25" style="111" customWidth="1"/>
    <col min="7429" max="7429" width="10.875" style="111" customWidth="1"/>
    <col min="7430" max="7436" width="0" style="111" hidden="1" customWidth="1"/>
    <col min="7437" max="7437" width="9" style="111"/>
    <col min="7438" max="7438" width="10.875" style="111" bestFit="1" customWidth="1"/>
    <col min="7439" max="7669" width="9" style="111"/>
    <col min="7670" max="7670" width="1.5" style="111" customWidth="1"/>
    <col min="7671" max="7671" width="0.75" style="111" customWidth="1"/>
    <col min="7672" max="7677" width="1" style="111" customWidth="1"/>
    <col min="7678" max="7678" width="0.5" style="111" customWidth="1"/>
    <col min="7679" max="7679" width="31.25" style="111" customWidth="1"/>
    <col min="7680" max="7680" width="33.5" style="111" customWidth="1"/>
    <col min="7681" max="7681" width="2.625" style="111" customWidth="1"/>
    <col min="7682" max="7682" width="10.375" style="111" customWidth="1"/>
    <col min="7683" max="7683" width="10.875" style="111" customWidth="1"/>
    <col min="7684" max="7684" width="14.25" style="111" customWidth="1"/>
    <col min="7685" max="7685" width="10.875" style="111" customWidth="1"/>
    <col min="7686" max="7692" width="0" style="111" hidden="1" customWidth="1"/>
    <col min="7693" max="7693" width="9" style="111"/>
    <col min="7694" max="7694" width="10.875" style="111" bestFit="1" customWidth="1"/>
    <col min="7695" max="7925" width="9" style="111"/>
    <col min="7926" max="7926" width="1.5" style="111" customWidth="1"/>
    <col min="7927" max="7927" width="0.75" style="111" customWidth="1"/>
    <col min="7928" max="7933" width="1" style="111" customWidth="1"/>
    <col min="7934" max="7934" width="0.5" style="111" customWidth="1"/>
    <col min="7935" max="7935" width="31.25" style="111" customWidth="1"/>
    <col min="7936" max="7936" width="33.5" style="111" customWidth="1"/>
    <col min="7937" max="7937" width="2.625" style="111" customWidth="1"/>
    <col min="7938" max="7938" width="10.375" style="111" customWidth="1"/>
    <col min="7939" max="7939" width="10.875" style="111" customWidth="1"/>
    <col min="7940" max="7940" width="14.25" style="111" customWidth="1"/>
    <col min="7941" max="7941" width="10.875" style="111" customWidth="1"/>
    <col min="7942" max="7948" width="0" style="111" hidden="1" customWidth="1"/>
    <col min="7949" max="7949" width="9" style="111"/>
    <col min="7950" max="7950" width="10.875" style="111" bestFit="1" customWidth="1"/>
    <col min="7951" max="8181" width="9" style="111"/>
    <col min="8182" max="8182" width="1.5" style="111" customWidth="1"/>
    <col min="8183" max="8183" width="0.75" style="111" customWidth="1"/>
    <col min="8184" max="8189" width="1" style="111" customWidth="1"/>
    <col min="8190" max="8190" width="0.5" style="111" customWidth="1"/>
    <col min="8191" max="8191" width="31.25" style="111" customWidth="1"/>
    <col min="8192" max="8192" width="33.5" style="111" customWidth="1"/>
    <col min="8193" max="8193" width="2.625" style="111" customWidth="1"/>
    <col min="8194" max="8194" width="10.375" style="111" customWidth="1"/>
    <col min="8195" max="8195" width="10.875" style="111" customWidth="1"/>
    <col min="8196" max="8196" width="14.25" style="111" customWidth="1"/>
    <col min="8197" max="8197" width="10.875" style="111" customWidth="1"/>
    <col min="8198" max="8204" width="0" style="111" hidden="1" customWidth="1"/>
    <col min="8205" max="8205" width="9" style="111"/>
    <col min="8206" max="8206" width="10.875" style="111" bestFit="1" customWidth="1"/>
    <col min="8207" max="8437" width="9" style="111"/>
    <col min="8438" max="8438" width="1.5" style="111" customWidth="1"/>
    <col min="8439" max="8439" width="0.75" style="111" customWidth="1"/>
    <col min="8440" max="8445" width="1" style="111" customWidth="1"/>
    <col min="8446" max="8446" width="0.5" style="111" customWidth="1"/>
    <col min="8447" max="8447" width="31.25" style="111" customWidth="1"/>
    <col min="8448" max="8448" width="33.5" style="111" customWidth="1"/>
    <col min="8449" max="8449" width="2.625" style="111" customWidth="1"/>
    <col min="8450" max="8450" width="10.375" style="111" customWidth="1"/>
    <col min="8451" max="8451" width="10.875" style="111" customWidth="1"/>
    <col min="8452" max="8452" width="14.25" style="111" customWidth="1"/>
    <col min="8453" max="8453" width="10.875" style="111" customWidth="1"/>
    <col min="8454" max="8460" width="0" style="111" hidden="1" customWidth="1"/>
    <col min="8461" max="8461" width="9" style="111"/>
    <col min="8462" max="8462" width="10.875" style="111" bestFit="1" customWidth="1"/>
    <col min="8463" max="8693" width="9" style="111"/>
    <col min="8694" max="8694" width="1.5" style="111" customWidth="1"/>
    <col min="8695" max="8695" width="0.75" style="111" customWidth="1"/>
    <col min="8696" max="8701" width="1" style="111" customWidth="1"/>
    <col min="8702" max="8702" width="0.5" style="111" customWidth="1"/>
    <col min="8703" max="8703" width="31.25" style="111" customWidth="1"/>
    <col min="8704" max="8704" width="33.5" style="111" customWidth="1"/>
    <col min="8705" max="8705" width="2.625" style="111" customWidth="1"/>
    <col min="8706" max="8706" width="10.375" style="111" customWidth="1"/>
    <col min="8707" max="8707" width="10.875" style="111" customWidth="1"/>
    <col min="8708" max="8708" width="14.25" style="111" customWidth="1"/>
    <col min="8709" max="8709" width="10.875" style="111" customWidth="1"/>
    <col min="8710" max="8716" width="0" style="111" hidden="1" customWidth="1"/>
    <col min="8717" max="8717" width="9" style="111"/>
    <col min="8718" max="8718" width="10.875" style="111" bestFit="1" customWidth="1"/>
    <col min="8719" max="8949" width="9" style="111"/>
    <col min="8950" max="8950" width="1.5" style="111" customWidth="1"/>
    <col min="8951" max="8951" width="0.75" style="111" customWidth="1"/>
    <col min="8952" max="8957" width="1" style="111" customWidth="1"/>
    <col min="8958" max="8958" width="0.5" style="111" customWidth="1"/>
    <col min="8959" max="8959" width="31.25" style="111" customWidth="1"/>
    <col min="8960" max="8960" width="33.5" style="111" customWidth="1"/>
    <col min="8961" max="8961" width="2.625" style="111" customWidth="1"/>
    <col min="8962" max="8962" width="10.375" style="111" customWidth="1"/>
    <col min="8963" max="8963" width="10.875" style="111" customWidth="1"/>
    <col min="8964" max="8964" width="14.25" style="111" customWidth="1"/>
    <col min="8965" max="8965" width="10.875" style="111" customWidth="1"/>
    <col min="8966" max="8972" width="0" style="111" hidden="1" customWidth="1"/>
    <col min="8973" max="8973" width="9" style="111"/>
    <col min="8974" max="8974" width="10.875" style="111" bestFit="1" customWidth="1"/>
    <col min="8975" max="9205" width="9" style="111"/>
    <col min="9206" max="9206" width="1.5" style="111" customWidth="1"/>
    <col min="9207" max="9207" width="0.75" style="111" customWidth="1"/>
    <col min="9208" max="9213" width="1" style="111" customWidth="1"/>
    <col min="9214" max="9214" width="0.5" style="111" customWidth="1"/>
    <col min="9215" max="9215" width="31.25" style="111" customWidth="1"/>
    <col min="9216" max="9216" width="33.5" style="111" customWidth="1"/>
    <col min="9217" max="9217" width="2.625" style="111" customWidth="1"/>
    <col min="9218" max="9218" width="10.375" style="111" customWidth="1"/>
    <col min="9219" max="9219" width="10.875" style="111" customWidth="1"/>
    <col min="9220" max="9220" width="14.25" style="111" customWidth="1"/>
    <col min="9221" max="9221" width="10.875" style="111" customWidth="1"/>
    <col min="9222" max="9228" width="0" style="111" hidden="1" customWidth="1"/>
    <col min="9229" max="9229" width="9" style="111"/>
    <col min="9230" max="9230" width="10.875" style="111" bestFit="1" customWidth="1"/>
    <col min="9231" max="9461" width="9" style="111"/>
    <col min="9462" max="9462" width="1.5" style="111" customWidth="1"/>
    <col min="9463" max="9463" width="0.75" style="111" customWidth="1"/>
    <col min="9464" max="9469" width="1" style="111" customWidth="1"/>
    <col min="9470" max="9470" width="0.5" style="111" customWidth="1"/>
    <col min="9471" max="9471" width="31.25" style="111" customWidth="1"/>
    <col min="9472" max="9472" width="33.5" style="111" customWidth="1"/>
    <col min="9473" max="9473" width="2.625" style="111" customWidth="1"/>
    <col min="9474" max="9474" width="10.375" style="111" customWidth="1"/>
    <col min="9475" max="9475" width="10.875" style="111" customWidth="1"/>
    <col min="9476" max="9476" width="14.25" style="111" customWidth="1"/>
    <col min="9477" max="9477" width="10.875" style="111" customWidth="1"/>
    <col min="9478" max="9484" width="0" style="111" hidden="1" customWidth="1"/>
    <col min="9485" max="9485" width="9" style="111"/>
    <col min="9486" max="9486" width="10.875" style="111" bestFit="1" customWidth="1"/>
    <col min="9487" max="9717" width="9" style="111"/>
    <col min="9718" max="9718" width="1.5" style="111" customWidth="1"/>
    <col min="9719" max="9719" width="0.75" style="111" customWidth="1"/>
    <col min="9720" max="9725" width="1" style="111" customWidth="1"/>
    <col min="9726" max="9726" width="0.5" style="111" customWidth="1"/>
    <col min="9727" max="9727" width="31.25" style="111" customWidth="1"/>
    <col min="9728" max="9728" width="33.5" style="111" customWidth="1"/>
    <col min="9729" max="9729" width="2.625" style="111" customWidth="1"/>
    <col min="9730" max="9730" width="10.375" style="111" customWidth="1"/>
    <col min="9731" max="9731" width="10.875" style="111" customWidth="1"/>
    <col min="9732" max="9732" width="14.25" style="111" customWidth="1"/>
    <col min="9733" max="9733" width="10.875" style="111" customWidth="1"/>
    <col min="9734" max="9740" width="0" style="111" hidden="1" customWidth="1"/>
    <col min="9741" max="9741" width="9" style="111"/>
    <col min="9742" max="9742" width="10.875" style="111" bestFit="1" customWidth="1"/>
    <col min="9743" max="9973" width="9" style="111"/>
    <col min="9974" max="9974" width="1.5" style="111" customWidth="1"/>
    <col min="9975" max="9975" width="0.75" style="111" customWidth="1"/>
    <col min="9976" max="9981" width="1" style="111" customWidth="1"/>
    <col min="9982" max="9982" width="0.5" style="111" customWidth="1"/>
    <col min="9983" max="9983" width="31.25" style="111" customWidth="1"/>
    <col min="9984" max="9984" width="33.5" style="111" customWidth="1"/>
    <col min="9985" max="9985" width="2.625" style="111" customWidth="1"/>
    <col min="9986" max="9986" width="10.375" style="111" customWidth="1"/>
    <col min="9987" max="9987" width="10.875" style="111" customWidth="1"/>
    <col min="9988" max="9988" width="14.25" style="111" customWidth="1"/>
    <col min="9989" max="9989" width="10.875" style="111" customWidth="1"/>
    <col min="9990" max="9996" width="0" style="111" hidden="1" customWidth="1"/>
    <col min="9997" max="9997" width="9" style="111"/>
    <col min="9998" max="9998" width="10.875" style="111" bestFit="1" customWidth="1"/>
    <col min="9999" max="10229" width="9" style="111"/>
    <col min="10230" max="10230" width="1.5" style="111" customWidth="1"/>
    <col min="10231" max="10231" width="0.75" style="111" customWidth="1"/>
    <col min="10232" max="10237" width="1" style="111" customWidth="1"/>
    <col min="10238" max="10238" width="0.5" style="111" customWidth="1"/>
    <col min="10239" max="10239" width="31.25" style="111" customWidth="1"/>
    <col min="10240" max="10240" width="33.5" style="111" customWidth="1"/>
    <col min="10241" max="10241" width="2.625" style="111" customWidth="1"/>
    <col min="10242" max="10242" width="10.375" style="111" customWidth="1"/>
    <col min="10243" max="10243" width="10.875" style="111" customWidth="1"/>
    <col min="10244" max="10244" width="14.25" style="111" customWidth="1"/>
    <col min="10245" max="10245" width="10.875" style="111" customWidth="1"/>
    <col min="10246" max="10252" width="0" style="111" hidden="1" customWidth="1"/>
    <col min="10253" max="10253" width="9" style="111"/>
    <col min="10254" max="10254" width="10.875" style="111" bestFit="1" customWidth="1"/>
    <col min="10255" max="10485" width="9" style="111"/>
    <col min="10486" max="10486" width="1.5" style="111" customWidth="1"/>
    <col min="10487" max="10487" width="0.75" style="111" customWidth="1"/>
    <col min="10488" max="10493" width="1" style="111" customWidth="1"/>
    <col min="10494" max="10494" width="0.5" style="111" customWidth="1"/>
    <col min="10495" max="10495" width="31.25" style="111" customWidth="1"/>
    <col min="10496" max="10496" width="33.5" style="111" customWidth="1"/>
    <col min="10497" max="10497" width="2.625" style="111" customWidth="1"/>
    <col min="10498" max="10498" width="10.375" style="111" customWidth="1"/>
    <col min="10499" max="10499" width="10.875" style="111" customWidth="1"/>
    <col min="10500" max="10500" width="14.25" style="111" customWidth="1"/>
    <col min="10501" max="10501" width="10.875" style="111" customWidth="1"/>
    <col min="10502" max="10508" width="0" style="111" hidden="1" customWidth="1"/>
    <col min="10509" max="10509" width="9" style="111"/>
    <col min="10510" max="10510" width="10.875" style="111" bestFit="1" customWidth="1"/>
    <col min="10511" max="10741" width="9" style="111"/>
    <col min="10742" max="10742" width="1.5" style="111" customWidth="1"/>
    <col min="10743" max="10743" width="0.75" style="111" customWidth="1"/>
    <col min="10744" max="10749" width="1" style="111" customWidth="1"/>
    <col min="10750" max="10750" width="0.5" style="111" customWidth="1"/>
    <col min="10751" max="10751" width="31.25" style="111" customWidth="1"/>
    <col min="10752" max="10752" width="33.5" style="111" customWidth="1"/>
    <col min="10753" max="10753" width="2.625" style="111" customWidth="1"/>
    <col min="10754" max="10754" width="10.375" style="111" customWidth="1"/>
    <col min="10755" max="10755" width="10.875" style="111" customWidth="1"/>
    <col min="10756" max="10756" width="14.25" style="111" customWidth="1"/>
    <col min="10757" max="10757" width="10.875" style="111" customWidth="1"/>
    <col min="10758" max="10764" width="0" style="111" hidden="1" customWidth="1"/>
    <col min="10765" max="10765" width="9" style="111"/>
    <col min="10766" max="10766" width="10.875" style="111" bestFit="1" customWidth="1"/>
    <col min="10767" max="10997" width="9" style="111"/>
    <col min="10998" max="10998" width="1.5" style="111" customWidth="1"/>
    <col min="10999" max="10999" width="0.75" style="111" customWidth="1"/>
    <col min="11000" max="11005" width="1" style="111" customWidth="1"/>
    <col min="11006" max="11006" width="0.5" style="111" customWidth="1"/>
    <col min="11007" max="11007" width="31.25" style="111" customWidth="1"/>
    <col min="11008" max="11008" width="33.5" style="111" customWidth="1"/>
    <col min="11009" max="11009" width="2.625" style="111" customWidth="1"/>
    <col min="11010" max="11010" width="10.375" style="111" customWidth="1"/>
    <col min="11011" max="11011" width="10.875" style="111" customWidth="1"/>
    <col min="11012" max="11012" width="14.25" style="111" customWidth="1"/>
    <col min="11013" max="11013" width="10.875" style="111" customWidth="1"/>
    <col min="11014" max="11020" width="0" style="111" hidden="1" customWidth="1"/>
    <col min="11021" max="11021" width="9" style="111"/>
    <col min="11022" max="11022" width="10.875" style="111" bestFit="1" customWidth="1"/>
    <col min="11023" max="11253" width="9" style="111"/>
    <col min="11254" max="11254" width="1.5" style="111" customWidth="1"/>
    <col min="11255" max="11255" width="0.75" style="111" customWidth="1"/>
    <col min="11256" max="11261" width="1" style="111" customWidth="1"/>
    <col min="11262" max="11262" width="0.5" style="111" customWidth="1"/>
    <col min="11263" max="11263" width="31.25" style="111" customWidth="1"/>
    <col min="11264" max="11264" width="33.5" style="111" customWidth="1"/>
    <col min="11265" max="11265" width="2.625" style="111" customWidth="1"/>
    <col min="11266" max="11266" width="10.375" style="111" customWidth="1"/>
    <col min="11267" max="11267" width="10.875" style="111" customWidth="1"/>
    <col min="11268" max="11268" width="14.25" style="111" customWidth="1"/>
    <col min="11269" max="11269" width="10.875" style="111" customWidth="1"/>
    <col min="11270" max="11276" width="0" style="111" hidden="1" customWidth="1"/>
    <col min="11277" max="11277" width="9" style="111"/>
    <col min="11278" max="11278" width="10.875" style="111" bestFit="1" customWidth="1"/>
    <col min="11279" max="11509" width="9" style="111"/>
    <col min="11510" max="11510" width="1.5" style="111" customWidth="1"/>
    <col min="11511" max="11511" width="0.75" style="111" customWidth="1"/>
    <col min="11512" max="11517" width="1" style="111" customWidth="1"/>
    <col min="11518" max="11518" width="0.5" style="111" customWidth="1"/>
    <col min="11519" max="11519" width="31.25" style="111" customWidth="1"/>
    <col min="11520" max="11520" width="33.5" style="111" customWidth="1"/>
    <col min="11521" max="11521" width="2.625" style="111" customWidth="1"/>
    <col min="11522" max="11522" width="10.375" style="111" customWidth="1"/>
    <col min="11523" max="11523" width="10.875" style="111" customWidth="1"/>
    <col min="11524" max="11524" width="14.25" style="111" customWidth="1"/>
    <col min="11525" max="11525" width="10.875" style="111" customWidth="1"/>
    <col min="11526" max="11532" width="0" style="111" hidden="1" customWidth="1"/>
    <col min="11533" max="11533" width="9" style="111"/>
    <col min="11534" max="11534" width="10.875" style="111" bestFit="1" customWidth="1"/>
    <col min="11535" max="11765" width="9" style="111"/>
    <col min="11766" max="11766" width="1.5" style="111" customWidth="1"/>
    <col min="11767" max="11767" width="0.75" style="111" customWidth="1"/>
    <col min="11768" max="11773" width="1" style="111" customWidth="1"/>
    <col min="11774" max="11774" width="0.5" style="111" customWidth="1"/>
    <col min="11775" max="11775" width="31.25" style="111" customWidth="1"/>
    <col min="11776" max="11776" width="33.5" style="111" customWidth="1"/>
    <col min="11777" max="11777" width="2.625" style="111" customWidth="1"/>
    <col min="11778" max="11778" width="10.375" style="111" customWidth="1"/>
    <col min="11779" max="11779" width="10.875" style="111" customWidth="1"/>
    <col min="11780" max="11780" width="14.25" style="111" customWidth="1"/>
    <col min="11781" max="11781" width="10.875" style="111" customWidth="1"/>
    <col min="11782" max="11788" width="0" style="111" hidden="1" customWidth="1"/>
    <col min="11789" max="11789" width="9" style="111"/>
    <col min="11790" max="11790" width="10.875" style="111" bestFit="1" customWidth="1"/>
    <col min="11791" max="12021" width="9" style="111"/>
    <col min="12022" max="12022" width="1.5" style="111" customWidth="1"/>
    <col min="12023" max="12023" width="0.75" style="111" customWidth="1"/>
    <col min="12024" max="12029" width="1" style="111" customWidth="1"/>
    <col min="12030" max="12030" width="0.5" style="111" customWidth="1"/>
    <col min="12031" max="12031" width="31.25" style="111" customWidth="1"/>
    <col min="12032" max="12032" width="33.5" style="111" customWidth="1"/>
    <col min="12033" max="12033" width="2.625" style="111" customWidth="1"/>
    <col min="12034" max="12034" width="10.375" style="111" customWidth="1"/>
    <col min="12035" max="12035" width="10.875" style="111" customWidth="1"/>
    <col min="12036" max="12036" width="14.25" style="111" customWidth="1"/>
    <col min="12037" max="12037" width="10.875" style="111" customWidth="1"/>
    <col min="12038" max="12044" width="0" style="111" hidden="1" customWidth="1"/>
    <col min="12045" max="12045" width="9" style="111"/>
    <col min="12046" max="12046" width="10.875" style="111" bestFit="1" customWidth="1"/>
    <col min="12047" max="12277" width="9" style="111"/>
    <col min="12278" max="12278" width="1.5" style="111" customWidth="1"/>
    <col min="12279" max="12279" width="0.75" style="111" customWidth="1"/>
    <col min="12280" max="12285" width="1" style="111" customWidth="1"/>
    <col min="12286" max="12286" width="0.5" style="111" customWidth="1"/>
    <col min="12287" max="12287" width="31.25" style="111" customWidth="1"/>
    <col min="12288" max="12288" width="33.5" style="111" customWidth="1"/>
    <col min="12289" max="12289" width="2.625" style="111" customWidth="1"/>
    <col min="12290" max="12290" width="10.375" style="111" customWidth="1"/>
    <col min="12291" max="12291" width="10.875" style="111" customWidth="1"/>
    <col min="12292" max="12292" width="14.25" style="111" customWidth="1"/>
    <col min="12293" max="12293" width="10.875" style="111" customWidth="1"/>
    <col min="12294" max="12300" width="0" style="111" hidden="1" customWidth="1"/>
    <col min="12301" max="12301" width="9" style="111"/>
    <col min="12302" max="12302" width="10.875" style="111" bestFit="1" customWidth="1"/>
    <col min="12303" max="12533" width="9" style="111"/>
    <col min="12534" max="12534" width="1.5" style="111" customWidth="1"/>
    <col min="12535" max="12535" width="0.75" style="111" customWidth="1"/>
    <col min="12536" max="12541" width="1" style="111" customWidth="1"/>
    <col min="12542" max="12542" width="0.5" style="111" customWidth="1"/>
    <col min="12543" max="12543" width="31.25" style="111" customWidth="1"/>
    <col min="12544" max="12544" width="33.5" style="111" customWidth="1"/>
    <col min="12545" max="12545" width="2.625" style="111" customWidth="1"/>
    <col min="12546" max="12546" width="10.375" style="111" customWidth="1"/>
    <col min="12547" max="12547" width="10.875" style="111" customWidth="1"/>
    <col min="12548" max="12548" width="14.25" style="111" customWidth="1"/>
    <col min="12549" max="12549" width="10.875" style="111" customWidth="1"/>
    <col min="12550" max="12556" width="0" style="111" hidden="1" customWidth="1"/>
    <col min="12557" max="12557" width="9" style="111"/>
    <col min="12558" max="12558" width="10.875" style="111" bestFit="1" customWidth="1"/>
    <col min="12559" max="12789" width="9" style="111"/>
    <col min="12790" max="12790" width="1.5" style="111" customWidth="1"/>
    <col min="12791" max="12791" width="0.75" style="111" customWidth="1"/>
    <col min="12792" max="12797" width="1" style="111" customWidth="1"/>
    <col min="12798" max="12798" width="0.5" style="111" customWidth="1"/>
    <col min="12799" max="12799" width="31.25" style="111" customWidth="1"/>
    <col min="12800" max="12800" width="33.5" style="111" customWidth="1"/>
    <col min="12801" max="12801" width="2.625" style="111" customWidth="1"/>
    <col min="12802" max="12802" width="10.375" style="111" customWidth="1"/>
    <col min="12803" max="12803" width="10.875" style="111" customWidth="1"/>
    <col min="12804" max="12804" width="14.25" style="111" customWidth="1"/>
    <col min="12805" max="12805" width="10.875" style="111" customWidth="1"/>
    <col min="12806" max="12812" width="0" style="111" hidden="1" customWidth="1"/>
    <col min="12813" max="12813" width="9" style="111"/>
    <col min="12814" max="12814" width="10.875" style="111" bestFit="1" customWidth="1"/>
    <col min="12815" max="13045" width="9" style="111"/>
    <col min="13046" max="13046" width="1.5" style="111" customWidth="1"/>
    <col min="13047" max="13047" width="0.75" style="111" customWidth="1"/>
    <col min="13048" max="13053" width="1" style="111" customWidth="1"/>
    <col min="13054" max="13054" width="0.5" style="111" customWidth="1"/>
    <col min="13055" max="13055" width="31.25" style="111" customWidth="1"/>
    <col min="13056" max="13056" width="33.5" style="111" customWidth="1"/>
    <col min="13057" max="13057" width="2.625" style="111" customWidth="1"/>
    <col min="13058" max="13058" width="10.375" style="111" customWidth="1"/>
    <col min="13059" max="13059" width="10.875" style="111" customWidth="1"/>
    <col min="13060" max="13060" width="14.25" style="111" customWidth="1"/>
    <col min="13061" max="13061" width="10.875" style="111" customWidth="1"/>
    <col min="13062" max="13068" width="0" style="111" hidden="1" customWidth="1"/>
    <col min="13069" max="13069" width="9" style="111"/>
    <col min="13070" max="13070" width="10.875" style="111" bestFit="1" customWidth="1"/>
    <col min="13071" max="13301" width="9" style="111"/>
    <col min="13302" max="13302" width="1.5" style="111" customWidth="1"/>
    <col min="13303" max="13303" width="0.75" style="111" customWidth="1"/>
    <col min="13304" max="13309" width="1" style="111" customWidth="1"/>
    <col min="13310" max="13310" width="0.5" style="111" customWidth="1"/>
    <col min="13311" max="13311" width="31.25" style="111" customWidth="1"/>
    <col min="13312" max="13312" width="33.5" style="111" customWidth="1"/>
    <col min="13313" max="13313" width="2.625" style="111" customWidth="1"/>
    <col min="13314" max="13314" width="10.375" style="111" customWidth="1"/>
    <col min="13315" max="13315" width="10.875" style="111" customWidth="1"/>
    <col min="13316" max="13316" width="14.25" style="111" customWidth="1"/>
    <col min="13317" max="13317" width="10.875" style="111" customWidth="1"/>
    <col min="13318" max="13324" width="0" style="111" hidden="1" customWidth="1"/>
    <col min="13325" max="13325" width="9" style="111"/>
    <col min="13326" max="13326" width="10.875" style="111" bestFit="1" customWidth="1"/>
    <col min="13327" max="13557" width="9" style="111"/>
    <col min="13558" max="13558" width="1.5" style="111" customWidth="1"/>
    <col min="13559" max="13559" width="0.75" style="111" customWidth="1"/>
    <col min="13560" max="13565" width="1" style="111" customWidth="1"/>
    <col min="13566" max="13566" width="0.5" style="111" customWidth="1"/>
    <col min="13567" max="13567" width="31.25" style="111" customWidth="1"/>
    <col min="13568" max="13568" width="33.5" style="111" customWidth="1"/>
    <col min="13569" max="13569" width="2.625" style="111" customWidth="1"/>
    <col min="13570" max="13570" width="10.375" style="111" customWidth="1"/>
    <col min="13571" max="13571" width="10.875" style="111" customWidth="1"/>
    <col min="13572" max="13572" width="14.25" style="111" customWidth="1"/>
    <col min="13573" max="13573" width="10.875" style="111" customWidth="1"/>
    <col min="13574" max="13580" width="0" style="111" hidden="1" customWidth="1"/>
    <col min="13581" max="13581" width="9" style="111"/>
    <col min="13582" max="13582" width="10.875" style="111" bestFit="1" customWidth="1"/>
    <col min="13583" max="13813" width="9" style="111"/>
    <col min="13814" max="13814" width="1.5" style="111" customWidth="1"/>
    <col min="13815" max="13815" width="0.75" style="111" customWidth="1"/>
    <col min="13816" max="13821" width="1" style="111" customWidth="1"/>
    <col min="13822" max="13822" width="0.5" style="111" customWidth="1"/>
    <col min="13823" max="13823" width="31.25" style="111" customWidth="1"/>
    <col min="13824" max="13824" width="33.5" style="111" customWidth="1"/>
    <col min="13825" max="13825" width="2.625" style="111" customWidth="1"/>
    <col min="13826" max="13826" width="10.375" style="111" customWidth="1"/>
    <col min="13827" max="13827" width="10.875" style="111" customWidth="1"/>
    <col min="13828" max="13828" width="14.25" style="111" customWidth="1"/>
    <col min="13829" max="13829" width="10.875" style="111" customWidth="1"/>
    <col min="13830" max="13836" width="0" style="111" hidden="1" customWidth="1"/>
    <col min="13837" max="13837" width="9" style="111"/>
    <col min="13838" max="13838" width="10.875" style="111" bestFit="1" customWidth="1"/>
    <col min="13839" max="14069" width="9" style="111"/>
    <col min="14070" max="14070" width="1.5" style="111" customWidth="1"/>
    <col min="14071" max="14071" width="0.75" style="111" customWidth="1"/>
    <col min="14072" max="14077" width="1" style="111" customWidth="1"/>
    <col min="14078" max="14078" width="0.5" style="111" customWidth="1"/>
    <col min="14079" max="14079" width="31.25" style="111" customWidth="1"/>
    <col min="14080" max="14080" width="33.5" style="111" customWidth="1"/>
    <col min="14081" max="14081" width="2.625" style="111" customWidth="1"/>
    <col min="14082" max="14082" width="10.375" style="111" customWidth="1"/>
    <col min="14083" max="14083" width="10.875" style="111" customWidth="1"/>
    <col min="14084" max="14084" width="14.25" style="111" customWidth="1"/>
    <col min="14085" max="14085" width="10.875" style="111" customWidth="1"/>
    <col min="14086" max="14092" width="0" style="111" hidden="1" customWidth="1"/>
    <col min="14093" max="14093" width="9" style="111"/>
    <col min="14094" max="14094" width="10.875" style="111" bestFit="1" customWidth="1"/>
    <col min="14095" max="14325" width="9" style="111"/>
    <col min="14326" max="14326" width="1.5" style="111" customWidth="1"/>
    <col min="14327" max="14327" width="0.75" style="111" customWidth="1"/>
    <col min="14328" max="14333" width="1" style="111" customWidth="1"/>
    <col min="14334" max="14334" width="0.5" style="111" customWidth="1"/>
    <col min="14335" max="14335" width="31.25" style="111" customWidth="1"/>
    <col min="14336" max="14336" width="33.5" style="111" customWidth="1"/>
    <col min="14337" max="14337" width="2.625" style="111" customWidth="1"/>
    <col min="14338" max="14338" width="10.375" style="111" customWidth="1"/>
    <col min="14339" max="14339" width="10.875" style="111" customWidth="1"/>
    <col min="14340" max="14340" width="14.25" style="111" customWidth="1"/>
    <col min="14341" max="14341" width="10.875" style="111" customWidth="1"/>
    <col min="14342" max="14348" width="0" style="111" hidden="1" customWidth="1"/>
    <col min="14349" max="14349" width="9" style="111"/>
    <col min="14350" max="14350" width="10.875" style="111" bestFit="1" customWidth="1"/>
    <col min="14351" max="14581" width="9" style="111"/>
    <col min="14582" max="14582" width="1.5" style="111" customWidth="1"/>
    <col min="14583" max="14583" width="0.75" style="111" customWidth="1"/>
    <col min="14584" max="14589" width="1" style="111" customWidth="1"/>
    <col min="14590" max="14590" width="0.5" style="111" customWidth="1"/>
    <col min="14591" max="14591" width="31.25" style="111" customWidth="1"/>
    <col min="14592" max="14592" width="33.5" style="111" customWidth="1"/>
    <col min="14593" max="14593" width="2.625" style="111" customWidth="1"/>
    <col min="14594" max="14594" width="10.375" style="111" customWidth="1"/>
    <col min="14595" max="14595" width="10.875" style="111" customWidth="1"/>
    <col min="14596" max="14596" width="14.25" style="111" customWidth="1"/>
    <col min="14597" max="14597" width="10.875" style="111" customWidth="1"/>
    <col min="14598" max="14604" width="0" style="111" hidden="1" customWidth="1"/>
    <col min="14605" max="14605" width="9" style="111"/>
    <col min="14606" max="14606" width="10.875" style="111" bestFit="1" customWidth="1"/>
    <col min="14607" max="14837" width="9" style="111"/>
    <col min="14838" max="14838" width="1.5" style="111" customWidth="1"/>
    <col min="14839" max="14839" width="0.75" style="111" customWidth="1"/>
    <col min="14840" max="14845" width="1" style="111" customWidth="1"/>
    <col min="14846" max="14846" width="0.5" style="111" customWidth="1"/>
    <col min="14847" max="14847" width="31.25" style="111" customWidth="1"/>
    <col min="14848" max="14848" width="33.5" style="111" customWidth="1"/>
    <col min="14849" max="14849" width="2.625" style="111" customWidth="1"/>
    <col min="14850" max="14850" width="10.375" style="111" customWidth="1"/>
    <col min="14851" max="14851" width="10.875" style="111" customWidth="1"/>
    <col min="14852" max="14852" width="14.25" style="111" customWidth="1"/>
    <col min="14853" max="14853" width="10.875" style="111" customWidth="1"/>
    <col min="14854" max="14860" width="0" style="111" hidden="1" customWidth="1"/>
    <col min="14861" max="14861" width="9" style="111"/>
    <col min="14862" max="14862" width="10.875" style="111" bestFit="1" customWidth="1"/>
    <col min="14863" max="15093" width="9" style="111"/>
    <col min="15094" max="15094" width="1.5" style="111" customWidth="1"/>
    <col min="15095" max="15095" width="0.75" style="111" customWidth="1"/>
    <col min="15096" max="15101" width="1" style="111" customWidth="1"/>
    <col min="15102" max="15102" width="0.5" style="111" customWidth="1"/>
    <col min="15103" max="15103" width="31.25" style="111" customWidth="1"/>
    <col min="15104" max="15104" width="33.5" style="111" customWidth="1"/>
    <col min="15105" max="15105" width="2.625" style="111" customWidth="1"/>
    <col min="15106" max="15106" width="10.375" style="111" customWidth="1"/>
    <col min="15107" max="15107" width="10.875" style="111" customWidth="1"/>
    <col min="15108" max="15108" width="14.25" style="111" customWidth="1"/>
    <col min="15109" max="15109" width="10.875" style="111" customWidth="1"/>
    <col min="15110" max="15116" width="0" style="111" hidden="1" customWidth="1"/>
    <col min="15117" max="15117" width="9" style="111"/>
    <col min="15118" max="15118" width="10.875" style="111" bestFit="1" customWidth="1"/>
    <col min="15119" max="15349" width="9" style="111"/>
    <col min="15350" max="15350" width="1.5" style="111" customWidth="1"/>
    <col min="15351" max="15351" width="0.75" style="111" customWidth="1"/>
    <col min="15352" max="15357" width="1" style="111" customWidth="1"/>
    <col min="15358" max="15358" width="0.5" style="111" customWidth="1"/>
    <col min="15359" max="15359" width="31.25" style="111" customWidth="1"/>
    <col min="15360" max="15360" width="33.5" style="111" customWidth="1"/>
    <col min="15361" max="15361" width="2.625" style="111" customWidth="1"/>
    <col min="15362" max="15362" width="10.375" style="111" customWidth="1"/>
    <col min="15363" max="15363" width="10.875" style="111" customWidth="1"/>
    <col min="15364" max="15364" width="14.25" style="111" customWidth="1"/>
    <col min="15365" max="15365" width="10.875" style="111" customWidth="1"/>
    <col min="15366" max="15372" width="0" style="111" hidden="1" customWidth="1"/>
    <col min="15373" max="15373" width="9" style="111"/>
    <col min="15374" max="15374" width="10.875" style="111" bestFit="1" customWidth="1"/>
    <col min="15375" max="15605" width="9" style="111"/>
    <col min="15606" max="15606" width="1.5" style="111" customWidth="1"/>
    <col min="15607" max="15607" width="0.75" style="111" customWidth="1"/>
    <col min="15608" max="15613" width="1" style="111" customWidth="1"/>
    <col min="15614" max="15614" width="0.5" style="111" customWidth="1"/>
    <col min="15615" max="15615" width="31.25" style="111" customWidth="1"/>
    <col min="15616" max="15616" width="33.5" style="111" customWidth="1"/>
    <col min="15617" max="15617" width="2.625" style="111" customWidth="1"/>
    <col min="15618" max="15618" width="10.375" style="111" customWidth="1"/>
    <col min="15619" max="15619" width="10.875" style="111" customWidth="1"/>
    <col min="15620" max="15620" width="14.25" style="111" customWidth="1"/>
    <col min="15621" max="15621" width="10.875" style="111" customWidth="1"/>
    <col min="15622" max="15628" width="0" style="111" hidden="1" customWidth="1"/>
    <col min="15629" max="15629" width="9" style="111"/>
    <col min="15630" max="15630" width="10.875" style="111" bestFit="1" customWidth="1"/>
    <col min="15631" max="15861" width="9" style="111"/>
    <col min="15862" max="15862" width="1.5" style="111" customWidth="1"/>
    <col min="15863" max="15863" width="0.75" style="111" customWidth="1"/>
    <col min="15864" max="15869" width="1" style="111" customWidth="1"/>
    <col min="15870" max="15870" width="0.5" style="111" customWidth="1"/>
    <col min="15871" max="15871" width="31.25" style="111" customWidth="1"/>
    <col min="15872" max="15872" width="33.5" style="111" customWidth="1"/>
    <col min="15873" max="15873" width="2.625" style="111" customWidth="1"/>
    <col min="15874" max="15874" width="10.375" style="111" customWidth="1"/>
    <col min="15875" max="15875" width="10.875" style="111" customWidth="1"/>
    <col min="15876" max="15876" width="14.25" style="111" customWidth="1"/>
    <col min="15877" max="15877" width="10.875" style="111" customWidth="1"/>
    <col min="15878" max="15884" width="0" style="111" hidden="1" customWidth="1"/>
    <col min="15885" max="15885" width="9" style="111"/>
    <col min="15886" max="15886" width="10.875" style="111" bestFit="1" customWidth="1"/>
    <col min="15887" max="16117" width="9" style="111"/>
    <col min="16118" max="16118" width="1.5" style="111" customWidth="1"/>
    <col min="16119" max="16119" width="0.75" style="111" customWidth="1"/>
    <col min="16120" max="16125" width="1" style="111" customWidth="1"/>
    <col min="16126" max="16126" width="0.5" style="111" customWidth="1"/>
    <col min="16127" max="16127" width="31.25" style="111" customWidth="1"/>
    <col min="16128" max="16128" width="33.5" style="111" customWidth="1"/>
    <col min="16129" max="16129" width="2.625" style="111" customWidth="1"/>
    <col min="16130" max="16130" width="10.375" style="111" customWidth="1"/>
    <col min="16131" max="16131" width="10.875" style="111" customWidth="1"/>
    <col min="16132" max="16132" width="14.25" style="111" customWidth="1"/>
    <col min="16133" max="16133" width="10.875" style="111" customWidth="1"/>
    <col min="16134" max="16140" width="0" style="111" hidden="1" customWidth="1"/>
    <col min="16141" max="16141" width="9" style="111"/>
    <col min="16142" max="16142" width="10.875" style="111" bestFit="1" customWidth="1"/>
    <col min="16143" max="16384" width="9" style="111"/>
  </cols>
  <sheetData>
    <row r="1" spans="1:17" ht="20.100000000000001" customHeight="1">
      <c r="A1" s="403" t="s">
        <v>1158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254"/>
      <c r="Q1" s="158"/>
    </row>
    <row r="2" spans="1:17" s="82" customFormat="1" ht="5.0999999999999996" customHeight="1">
      <c r="A2" s="258"/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7"/>
      <c r="O2" s="257"/>
      <c r="P2" s="259"/>
      <c r="Q2" s="257"/>
    </row>
    <row r="3" spans="1:17" s="268" customFormat="1" ht="20.100000000000001" customHeight="1">
      <c r="A3" s="501" t="s">
        <v>1154</v>
      </c>
      <c r="B3" s="501"/>
      <c r="C3" s="501"/>
      <c r="D3" s="501"/>
      <c r="E3" s="501"/>
      <c r="F3" s="501"/>
      <c r="G3" s="501"/>
      <c r="H3" s="501"/>
      <c r="I3" s="501"/>
      <c r="J3" s="501"/>
      <c r="K3" s="501"/>
      <c r="L3" s="501"/>
      <c r="M3" s="501"/>
      <c r="O3" s="269" t="s">
        <v>1991</v>
      </c>
      <c r="P3" s="269"/>
      <c r="Q3" s="270"/>
    </row>
    <row r="4" spans="1:17" ht="20.100000000000001" customHeight="1">
      <c r="A4" s="399" t="s">
        <v>843</v>
      </c>
      <c r="B4" s="400"/>
      <c r="C4" s="400"/>
      <c r="D4" s="400"/>
      <c r="E4" s="400"/>
      <c r="F4" s="400"/>
      <c r="G4" s="400"/>
      <c r="H4" s="400"/>
      <c r="I4" s="400"/>
      <c r="J4" s="400"/>
      <c r="K4" s="400"/>
      <c r="L4" s="401"/>
      <c r="M4" s="398" t="s">
        <v>2</v>
      </c>
      <c r="N4" s="398" t="s">
        <v>3</v>
      </c>
      <c r="O4" s="398" t="s">
        <v>1196</v>
      </c>
      <c r="P4" s="255"/>
      <c r="Q4" s="398" t="s">
        <v>1197</v>
      </c>
    </row>
    <row r="5" spans="1:17" ht="20.100000000000001" customHeight="1">
      <c r="A5" s="394" t="s">
        <v>844</v>
      </c>
      <c r="B5" s="395"/>
      <c r="C5" s="395"/>
      <c r="D5" s="395"/>
      <c r="E5" s="395"/>
      <c r="F5" s="395"/>
      <c r="G5" s="395"/>
      <c r="H5" s="395"/>
      <c r="I5" s="395"/>
      <c r="J5" s="395"/>
      <c r="K5" s="395"/>
      <c r="L5" s="396"/>
      <c r="M5" s="396"/>
      <c r="N5" s="396"/>
      <c r="O5" s="396"/>
      <c r="P5" s="256"/>
      <c r="Q5" s="396"/>
    </row>
    <row r="6" spans="1:17" ht="20.100000000000001" customHeight="1">
      <c r="A6" s="399" t="s">
        <v>823</v>
      </c>
      <c r="B6" s="400"/>
      <c r="C6" s="400"/>
      <c r="D6" s="400"/>
      <c r="E6" s="400"/>
      <c r="F6" s="400"/>
      <c r="G6" s="400"/>
      <c r="H6" s="400"/>
      <c r="I6" s="400"/>
      <c r="J6" s="400"/>
      <c r="K6" s="400"/>
      <c r="L6" s="401"/>
      <c r="M6" s="83">
        <f>+M7</f>
        <v>4566160</v>
      </c>
      <c r="N6" s="83">
        <f t="shared" ref="N6:O8" si="0">+N7</f>
        <v>4794230</v>
      </c>
      <c r="O6" s="83">
        <f t="shared" si="0"/>
        <v>-228070</v>
      </c>
      <c r="P6" s="83"/>
      <c r="Q6" s="83"/>
    </row>
    <row r="7" spans="1:17" ht="24.95" customHeight="1">
      <c r="A7" s="512" t="s">
        <v>845</v>
      </c>
      <c r="B7" s="513"/>
      <c r="C7" s="513"/>
      <c r="D7" s="513"/>
      <c r="E7" s="513" t="s">
        <v>847</v>
      </c>
      <c r="F7" s="513"/>
      <c r="G7" s="513"/>
      <c r="H7" s="513"/>
      <c r="I7" s="513"/>
      <c r="J7" s="513"/>
      <c r="K7" s="513"/>
      <c r="L7" s="514"/>
      <c r="M7" s="191">
        <f>+M8</f>
        <v>4566160</v>
      </c>
      <c r="N7" s="191">
        <f t="shared" si="0"/>
        <v>4794230</v>
      </c>
      <c r="O7" s="191">
        <f>+O8</f>
        <v>-228070</v>
      </c>
      <c r="P7" s="275"/>
      <c r="Q7" s="275"/>
    </row>
    <row r="8" spans="1:17" ht="24.95" customHeight="1">
      <c r="A8" s="276"/>
      <c r="B8" s="513" t="s">
        <v>848</v>
      </c>
      <c r="C8" s="513"/>
      <c r="D8" s="513"/>
      <c r="E8" s="513"/>
      <c r="F8" s="513" t="s">
        <v>849</v>
      </c>
      <c r="G8" s="513"/>
      <c r="H8" s="513"/>
      <c r="I8" s="513"/>
      <c r="J8" s="513"/>
      <c r="K8" s="513"/>
      <c r="L8" s="514"/>
      <c r="M8" s="193">
        <f>+M9</f>
        <v>4566160</v>
      </c>
      <c r="N8" s="193">
        <f t="shared" si="0"/>
        <v>4794230</v>
      </c>
      <c r="O8" s="193">
        <f>+M9-N9</f>
        <v>-228070</v>
      </c>
      <c r="P8" s="277"/>
      <c r="Q8" s="277"/>
    </row>
    <row r="9" spans="1:17" ht="24.95" customHeight="1">
      <c r="A9" s="276"/>
      <c r="B9" s="278"/>
      <c r="C9" s="502" t="s">
        <v>888</v>
      </c>
      <c r="D9" s="503"/>
      <c r="E9" s="503"/>
      <c r="F9" s="503"/>
      <c r="G9" s="503" t="s">
        <v>889</v>
      </c>
      <c r="H9" s="503"/>
      <c r="I9" s="503"/>
      <c r="J9" s="503"/>
      <c r="K9" s="503"/>
      <c r="L9" s="504"/>
      <c r="M9" s="193">
        <f>+SUM(M14:M787)</f>
        <v>4566160</v>
      </c>
      <c r="N9" s="193">
        <f>+SUM(N14:N787)</f>
        <v>4794230</v>
      </c>
      <c r="O9" s="193">
        <f>+SUM(O14:O787)</f>
        <v>-228070</v>
      </c>
      <c r="P9" s="277"/>
      <c r="Q9" s="277"/>
    </row>
    <row r="10" spans="1:17" s="93" customFormat="1" ht="24.95" customHeight="1">
      <c r="A10" s="279"/>
      <c r="B10" s="280"/>
      <c r="C10" s="281"/>
      <c r="D10" s="282"/>
      <c r="E10" s="505" t="s">
        <v>1307</v>
      </c>
      <c r="F10" s="505"/>
      <c r="G10" s="505"/>
      <c r="H10" s="505"/>
      <c r="I10" s="506" t="s">
        <v>899</v>
      </c>
      <c r="J10" s="506"/>
      <c r="K10" s="506"/>
      <c r="L10" s="507"/>
      <c r="M10" s="283"/>
      <c r="N10" s="283"/>
      <c r="O10" s="283"/>
      <c r="P10" s="283"/>
      <c r="Q10" s="283"/>
    </row>
    <row r="11" spans="1:17" s="82" customFormat="1" ht="24.95" customHeight="1">
      <c r="A11" s="284"/>
      <c r="B11" s="285"/>
      <c r="C11" s="285"/>
      <c r="D11" s="286"/>
      <c r="E11" s="508" t="s">
        <v>609</v>
      </c>
      <c r="F11" s="403"/>
      <c r="G11" s="403"/>
      <c r="H11" s="403"/>
      <c r="I11" s="403"/>
      <c r="J11" s="403"/>
      <c r="K11" s="287"/>
      <c r="L11" s="288">
        <f>+SUM(L14:L206)</f>
        <v>1251591</v>
      </c>
      <c r="M11" s="288"/>
      <c r="N11" s="288"/>
      <c r="O11" s="288"/>
      <c r="P11" s="289"/>
      <c r="Q11" s="290"/>
    </row>
    <row r="12" spans="1:17" s="82" customFormat="1" ht="24.95" customHeight="1">
      <c r="A12" s="284"/>
      <c r="B12" s="285"/>
      <c r="C12" s="285"/>
      <c r="D12" s="286"/>
      <c r="E12" s="509" t="s">
        <v>900</v>
      </c>
      <c r="F12" s="510"/>
      <c r="G12" s="510"/>
      <c r="H12" s="510"/>
      <c r="I12" s="510"/>
      <c r="J12" s="511"/>
      <c r="K12" s="511"/>
      <c r="L12" s="291"/>
      <c r="M12" s="315"/>
      <c r="N12" s="316"/>
      <c r="O12" s="316"/>
      <c r="P12" s="290"/>
      <c r="Q12" s="290"/>
    </row>
    <row r="13" spans="1:17" s="82" customFormat="1" ht="24.95" customHeight="1">
      <c r="A13" s="284"/>
      <c r="B13" s="285"/>
      <c r="C13" s="285"/>
      <c r="D13" s="286"/>
      <c r="E13" s="292"/>
      <c r="F13" s="293"/>
      <c r="G13" s="510" t="s">
        <v>901</v>
      </c>
      <c r="H13" s="510"/>
      <c r="I13" s="510"/>
      <c r="J13" s="515"/>
      <c r="K13" s="515"/>
      <c r="L13" s="291"/>
      <c r="M13" s="315"/>
      <c r="N13" s="316"/>
      <c r="O13" s="316"/>
      <c r="P13" s="290"/>
      <c r="Q13" s="316"/>
    </row>
    <row r="14" spans="1:17" s="82" customFormat="1" ht="24.95" customHeight="1">
      <c r="A14" s="284"/>
      <c r="B14" s="285"/>
      <c r="C14" s="285"/>
      <c r="D14" s="286"/>
      <c r="E14" s="294"/>
      <c r="F14" s="295"/>
      <c r="G14" s="511" t="s">
        <v>1478</v>
      </c>
      <c r="H14" s="511"/>
      <c r="I14" s="511"/>
      <c r="J14" s="511"/>
      <c r="K14" s="511"/>
      <c r="L14" s="291">
        <f>ROUNDDOWN(3500*920*0.012,0)</f>
        <v>38640</v>
      </c>
      <c r="M14" s="315">
        <f>+L14</f>
        <v>38640</v>
      </c>
      <c r="N14" s="316">
        <v>48300</v>
      </c>
      <c r="O14" s="316">
        <f>+M14-N14</f>
        <v>-9660</v>
      </c>
      <c r="P14" s="290"/>
      <c r="Q14" s="316" t="s">
        <v>1479</v>
      </c>
    </row>
    <row r="15" spans="1:17" s="82" customFormat="1" ht="24.95" customHeight="1">
      <c r="A15" s="284"/>
      <c r="B15" s="285"/>
      <c r="C15" s="285"/>
      <c r="D15" s="286"/>
      <c r="E15" s="292"/>
      <c r="F15" s="293"/>
      <c r="G15" s="510" t="s">
        <v>1480</v>
      </c>
      <c r="H15" s="510"/>
      <c r="I15" s="510"/>
      <c r="J15" s="510"/>
      <c r="K15" s="510"/>
      <c r="L15" s="291"/>
      <c r="M15" s="315"/>
      <c r="N15" s="316"/>
      <c r="O15" s="316"/>
      <c r="P15" s="290"/>
      <c r="Q15" s="316"/>
    </row>
    <row r="16" spans="1:17" s="82" customFormat="1" ht="24.95" customHeight="1">
      <c r="A16" s="284"/>
      <c r="B16" s="285"/>
      <c r="C16" s="285"/>
      <c r="D16" s="286"/>
      <c r="E16" s="292"/>
      <c r="F16" s="293"/>
      <c r="G16" s="511" t="s">
        <v>1481</v>
      </c>
      <c r="H16" s="511"/>
      <c r="I16" s="511"/>
      <c r="J16" s="511"/>
      <c r="K16" s="511"/>
      <c r="L16" s="291">
        <f>ROUNDDOWN(3500*230*0.8*0.012,0)</f>
        <v>7728</v>
      </c>
      <c r="M16" s="315">
        <f>+L16</f>
        <v>7728</v>
      </c>
      <c r="N16" s="316">
        <v>0</v>
      </c>
      <c r="O16" s="316">
        <f t="shared" ref="O16:O78" si="1">+M16-N16</f>
        <v>7728</v>
      </c>
      <c r="P16" s="290"/>
      <c r="Q16" s="316"/>
    </row>
    <row r="17" spans="1:17" s="82" customFormat="1" ht="24.95" customHeight="1">
      <c r="A17" s="284"/>
      <c r="B17" s="285"/>
      <c r="C17" s="285"/>
      <c r="D17" s="286"/>
      <c r="E17" s="292"/>
      <c r="F17" s="293"/>
      <c r="G17" s="510" t="s">
        <v>1482</v>
      </c>
      <c r="H17" s="510"/>
      <c r="I17" s="510"/>
      <c r="J17" s="515"/>
      <c r="K17" s="515"/>
      <c r="L17" s="291"/>
      <c r="M17" s="315"/>
      <c r="N17" s="316"/>
      <c r="O17" s="316"/>
      <c r="P17" s="290"/>
      <c r="Q17" s="316"/>
    </row>
    <row r="18" spans="1:17" s="82" customFormat="1" ht="24.95" customHeight="1">
      <c r="A18" s="284"/>
      <c r="B18" s="285"/>
      <c r="C18" s="285"/>
      <c r="D18" s="286"/>
      <c r="E18" s="509"/>
      <c r="F18" s="510"/>
      <c r="G18" s="510"/>
      <c r="H18" s="510"/>
      <c r="I18" s="510"/>
      <c r="J18" s="511" t="s">
        <v>1483</v>
      </c>
      <c r="K18" s="511"/>
      <c r="L18" s="291">
        <f>ROUNDDOWN(2900*240*0.012,0)</f>
        <v>8352</v>
      </c>
      <c r="M18" s="315">
        <f>+L18</f>
        <v>8352</v>
      </c>
      <c r="N18" s="316">
        <v>10440</v>
      </c>
      <c r="O18" s="316">
        <f t="shared" si="1"/>
        <v>-2088</v>
      </c>
      <c r="P18" s="290"/>
      <c r="Q18" s="316" t="s">
        <v>1479</v>
      </c>
    </row>
    <row r="19" spans="1:17" s="82" customFormat="1" ht="24.95" customHeight="1">
      <c r="A19" s="284"/>
      <c r="B19" s="285"/>
      <c r="C19" s="285"/>
      <c r="D19" s="286"/>
      <c r="E19" s="292"/>
      <c r="F19" s="293"/>
      <c r="G19" s="510" t="s">
        <v>1484</v>
      </c>
      <c r="H19" s="510"/>
      <c r="I19" s="510"/>
      <c r="J19" s="511"/>
      <c r="K19" s="511"/>
      <c r="L19" s="291"/>
      <c r="M19" s="315"/>
      <c r="N19" s="316"/>
      <c r="O19" s="316"/>
      <c r="P19" s="290"/>
      <c r="Q19" s="316"/>
    </row>
    <row r="20" spans="1:17" s="82" customFormat="1" ht="24.95" customHeight="1">
      <c r="A20" s="284"/>
      <c r="B20" s="285"/>
      <c r="C20" s="285"/>
      <c r="D20" s="286"/>
      <c r="E20" s="292"/>
      <c r="F20" s="293"/>
      <c r="G20" s="511" t="s">
        <v>1485</v>
      </c>
      <c r="H20" s="511"/>
      <c r="I20" s="511"/>
      <c r="J20" s="511"/>
      <c r="K20" s="511"/>
      <c r="L20" s="291">
        <f>ROUNDDOWN(2900*60*0.8*0.012,0)</f>
        <v>1670</v>
      </c>
      <c r="M20" s="315">
        <f>+L20</f>
        <v>1670</v>
      </c>
      <c r="N20" s="316">
        <v>0</v>
      </c>
      <c r="O20" s="316">
        <f t="shared" si="1"/>
        <v>1670</v>
      </c>
      <c r="P20" s="290"/>
      <c r="Q20" s="316"/>
    </row>
    <row r="21" spans="1:17" s="82" customFormat="1" ht="24.95" customHeight="1">
      <c r="A21" s="284"/>
      <c r="B21" s="285"/>
      <c r="C21" s="285"/>
      <c r="D21" s="286"/>
      <c r="E21" s="292"/>
      <c r="F21" s="293"/>
      <c r="G21" s="510" t="s">
        <v>903</v>
      </c>
      <c r="H21" s="510"/>
      <c r="I21" s="510"/>
      <c r="J21" s="296"/>
      <c r="K21" s="296"/>
      <c r="L21" s="291"/>
      <c r="M21" s="315"/>
      <c r="N21" s="316"/>
      <c r="O21" s="316"/>
      <c r="P21" s="290"/>
      <c r="Q21" s="316"/>
    </row>
    <row r="22" spans="1:17" s="82" customFormat="1" ht="24.95" customHeight="1">
      <c r="A22" s="284"/>
      <c r="B22" s="285"/>
      <c r="C22" s="285"/>
      <c r="D22" s="286"/>
      <c r="E22" s="292"/>
      <c r="F22" s="293"/>
      <c r="G22" s="293"/>
      <c r="H22" s="293"/>
      <c r="I22" s="511" t="s">
        <v>1486</v>
      </c>
      <c r="J22" s="511"/>
      <c r="K22" s="511"/>
      <c r="L22" s="291">
        <f>ROUNDDOWN(2100*880*12/1000,0)</f>
        <v>22176</v>
      </c>
      <c r="M22" s="315">
        <f>+L22</f>
        <v>22176</v>
      </c>
      <c r="N22" s="316">
        <v>27720</v>
      </c>
      <c r="O22" s="316">
        <f t="shared" si="1"/>
        <v>-5544</v>
      </c>
      <c r="P22" s="290"/>
      <c r="Q22" s="316" t="s">
        <v>1487</v>
      </c>
    </row>
    <row r="23" spans="1:17" s="82" customFormat="1" ht="24.95" customHeight="1">
      <c r="A23" s="284"/>
      <c r="B23" s="285"/>
      <c r="C23" s="285"/>
      <c r="D23" s="286"/>
      <c r="E23" s="294"/>
      <c r="F23" s="295"/>
      <c r="G23" s="510" t="s">
        <v>1488</v>
      </c>
      <c r="H23" s="510"/>
      <c r="I23" s="510"/>
      <c r="J23" s="295"/>
      <c r="K23" s="295"/>
      <c r="L23" s="297"/>
      <c r="M23" s="315"/>
      <c r="N23" s="316"/>
      <c r="O23" s="316"/>
      <c r="P23" s="290"/>
      <c r="Q23" s="316"/>
    </row>
    <row r="24" spans="1:17" s="82" customFormat="1" ht="24.95" customHeight="1">
      <c r="A24" s="284"/>
      <c r="B24" s="285"/>
      <c r="C24" s="285"/>
      <c r="D24" s="286"/>
      <c r="E24" s="292"/>
      <c r="F24" s="293"/>
      <c r="G24" s="293"/>
      <c r="H24" s="293"/>
      <c r="I24" s="511" t="s">
        <v>1489</v>
      </c>
      <c r="J24" s="511"/>
      <c r="K24" s="511"/>
      <c r="L24" s="291">
        <f>ROUNDDOWN(2100*220*0.8*12/1000,0)</f>
        <v>4435</v>
      </c>
      <c r="M24" s="315">
        <f>+L24</f>
        <v>4435</v>
      </c>
      <c r="N24" s="316">
        <v>0</v>
      </c>
      <c r="O24" s="316">
        <f t="shared" si="1"/>
        <v>4435</v>
      </c>
      <c r="P24" s="290"/>
      <c r="Q24" s="316"/>
    </row>
    <row r="25" spans="1:17" s="82" customFormat="1" ht="24.95" customHeight="1">
      <c r="A25" s="284"/>
      <c r="B25" s="285"/>
      <c r="C25" s="285"/>
      <c r="D25" s="286"/>
      <c r="E25" s="509" t="s">
        <v>1490</v>
      </c>
      <c r="F25" s="510"/>
      <c r="G25" s="510"/>
      <c r="H25" s="510"/>
      <c r="I25" s="510"/>
      <c r="J25" s="298"/>
      <c r="K25" s="298"/>
      <c r="L25" s="299"/>
      <c r="M25" s="315"/>
      <c r="N25" s="316"/>
      <c r="O25" s="316"/>
      <c r="P25" s="290"/>
      <c r="Q25" s="316"/>
    </row>
    <row r="26" spans="1:17" s="82" customFormat="1" ht="24.95" customHeight="1">
      <c r="A26" s="284"/>
      <c r="B26" s="285"/>
      <c r="C26" s="285"/>
      <c r="D26" s="286"/>
      <c r="E26" s="292"/>
      <c r="F26" s="293"/>
      <c r="G26" s="510" t="s">
        <v>1491</v>
      </c>
      <c r="H26" s="510"/>
      <c r="I26" s="510"/>
      <c r="J26" s="296"/>
      <c r="K26" s="296"/>
      <c r="L26" s="291"/>
      <c r="M26" s="315"/>
      <c r="N26" s="316"/>
      <c r="O26" s="316"/>
      <c r="P26" s="290"/>
      <c r="Q26" s="316"/>
    </row>
    <row r="27" spans="1:17" s="82" customFormat="1" ht="24.95" customHeight="1">
      <c r="A27" s="284"/>
      <c r="B27" s="285"/>
      <c r="C27" s="285"/>
      <c r="D27" s="286"/>
      <c r="E27" s="509"/>
      <c r="F27" s="510"/>
      <c r="G27" s="510"/>
      <c r="H27" s="510"/>
      <c r="I27" s="510"/>
      <c r="J27" s="511" t="s">
        <v>1492</v>
      </c>
      <c r="K27" s="511"/>
      <c r="L27" s="291">
        <f>ROUNDDOWN(60000*40*0.012,0)</f>
        <v>28800</v>
      </c>
      <c r="M27" s="315">
        <f>+L27</f>
        <v>28800</v>
      </c>
      <c r="N27" s="316">
        <v>18000</v>
      </c>
      <c r="O27" s="316">
        <f t="shared" si="1"/>
        <v>10800</v>
      </c>
      <c r="P27" s="290"/>
      <c r="Q27" s="316" t="s">
        <v>1493</v>
      </c>
    </row>
    <row r="28" spans="1:17" s="82" customFormat="1" ht="24.95" customHeight="1">
      <c r="A28" s="284"/>
      <c r="B28" s="285"/>
      <c r="C28" s="285"/>
      <c r="D28" s="286"/>
      <c r="E28" s="292"/>
      <c r="F28" s="293"/>
      <c r="G28" s="510" t="s">
        <v>1480</v>
      </c>
      <c r="H28" s="510"/>
      <c r="I28" s="510"/>
      <c r="J28" s="511"/>
      <c r="K28" s="511"/>
      <c r="L28" s="291"/>
      <c r="M28" s="315"/>
      <c r="N28" s="316"/>
      <c r="O28" s="316"/>
      <c r="P28" s="290"/>
      <c r="Q28" s="316"/>
    </row>
    <row r="29" spans="1:17" s="82" customFormat="1" ht="24.95" customHeight="1">
      <c r="A29" s="284"/>
      <c r="B29" s="285"/>
      <c r="C29" s="285"/>
      <c r="D29" s="286"/>
      <c r="E29" s="292"/>
      <c r="F29" s="293"/>
      <c r="G29" s="293"/>
      <c r="H29" s="293"/>
      <c r="I29" s="511" t="s">
        <v>1494</v>
      </c>
      <c r="J29" s="511"/>
      <c r="K29" s="511"/>
      <c r="L29" s="291">
        <f>ROUNDDOWN(60000*10*0.8*0.012,0)</f>
        <v>5760</v>
      </c>
      <c r="M29" s="315">
        <f>+L29</f>
        <v>5760</v>
      </c>
      <c r="N29" s="316">
        <v>0</v>
      </c>
      <c r="O29" s="316">
        <f t="shared" si="1"/>
        <v>5760</v>
      </c>
      <c r="P29" s="290"/>
      <c r="Q29" s="316"/>
    </row>
    <row r="30" spans="1:17" s="82" customFormat="1" ht="24.95" customHeight="1">
      <c r="A30" s="284"/>
      <c r="B30" s="285"/>
      <c r="C30" s="285"/>
      <c r="D30" s="286"/>
      <c r="E30" s="292"/>
      <c r="F30" s="293"/>
      <c r="G30" s="510" t="s">
        <v>904</v>
      </c>
      <c r="H30" s="510"/>
      <c r="I30" s="510"/>
      <c r="J30" s="296"/>
      <c r="K30" s="296"/>
      <c r="L30" s="291"/>
      <c r="M30" s="315"/>
      <c r="N30" s="316"/>
      <c r="O30" s="316"/>
      <c r="P30" s="290"/>
      <c r="Q30" s="316"/>
    </row>
    <row r="31" spans="1:17" s="82" customFormat="1" ht="24.95" customHeight="1">
      <c r="A31" s="284"/>
      <c r="B31" s="285"/>
      <c r="C31" s="285"/>
      <c r="D31" s="286"/>
      <c r="E31" s="516" t="s">
        <v>1495</v>
      </c>
      <c r="F31" s="511"/>
      <c r="G31" s="511"/>
      <c r="H31" s="511"/>
      <c r="I31" s="511"/>
      <c r="J31" s="511"/>
      <c r="K31" s="511"/>
      <c r="L31" s="291">
        <f>ROUNDDOWN(60000*60*12*90%/1000,0)</f>
        <v>38880</v>
      </c>
      <c r="M31" s="315">
        <f>+L31</f>
        <v>38880</v>
      </c>
      <c r="N31" s="316">
        <v>19440</v>
      </c>
      <c r="O31" s="316">
        <f t="shared" si="1"/>
        <v>19440</v>
      </c>
      <c r="P31" s="290"/>
      <c r="Q31" s="316" t="s">
        <v>1493</v>
      </c>
    </row>
    <row r="32" spans="1:17" s="82" customFormat="1" ht="24.95" customHeight="1">
      <c r="A32" s="284"/>
      <c r="B32" s="285"/>
      <c r="C32" s="285"/>
      <c r="D32" s="286"/>
      <c r="E32" s="292"/>
      <c r="F32" s="293"/>
      <c r="G32" s="510" t="s">
        <v>1482</v>
      </c>
      <c r="H32" s="510"/>
      <c r="I32" s="510"/>
      <c r="J32" s="296"/>
      <c r="K32" s="296"/>
      <c r="L32" s="291"/>
      <c r="M32" s="315"/>
      <c r="N32" s="316"/>
      <c r="O32" s="316"/>
      <c r="P32" s="290"/>
      <c r="Q32" s="316"/>
    </row>
    <row r="33" spans="1:17" s="82" customFormat="1" ht="24.95" customHeight="1">
      <c r="A33" s="284"/>
      <c r="B33" s="285"/>
      <c r="C33" s="285"/>
      <c r="D33" s="286"/>
      <c r="E33" s="509"/>
      <c r="F33" s="510"/>
      <c r="G33" s="510"/>
      <c r="H33" s="510"/>
      <c r="I33" s="510"/>
      <c r="J33" s="511" t="s">
        <v>1496</v>
      </c>
      <c r="K33" s="511"/>
      <c r="L33" s="291">
        <f>ROUNDDOWN(53000*8*0.012,0)</f>
        <v>5088</v>
      </c>
      <c r="M33" s="315">
        <f>+L33</f>
        <v>5088</v>
      </c>
      <c r="N33" s="316">
        <v>3180</v>
      </c>
      <c r="O33" s="316">
        <f t="shared" si="1"/>
        <v>1908</v>
      </c>
      <c r="P33" s="290"/>
      <c r="Q33" s="316" t="s">
        <v>1493</v>
      </c>
    </row>
    <row r="34" spans="1:17" s="82" customFormat="1" ht="24.95" customHeight="1">
      <c r="A34" s="284"/>
      <c r="B34" s="285"/>
      <c r="C34" s="285"/>
      <c r="D34" s="286"/>
      <c r="E34" s="292"/>
      <c r="F34" s="293"/>
      <c r="G34" s="510" t="s">
        <v>1484</v>
      </c>
      <c r="H34" s="510"/>
      <c r="I34" s="510"/>
      <c r="J34" s="511"/>
      <c r="K34" s="511"/>
      <c r="L34" s="291"/>
      <c r="M34" s="315"/>
      <c r="N34" s="316"/>
      <c r="O34" s="316"/>
      <c r="P34" s="290"/>
      <c r="Q34" s="316"/>
    </row>
    <row r="35" spans="1:17" s="82" customFormat="1" ht="24.95" customHeight="1">
      <c r="A35" s="284"/>
      <c r="B35" s="285"/>
      <c r="C35" s="285"/>
      <c r="D35" s="286"/>
      <c r="E35" s="292"/>
      <c r="F35" s="293"/>
      <c r="G35" s="293"/>
      <c r="H35" s="293"/>
      <c r="I35" s="511" t="s">
        <v>1497</v>
      </c>
      <c r="J35" s="511"/>
      <c r="K35" s="511"/>
      <c r="L35" s="291">
        <f>ROUNDDOWN(53000*2*0.8*0.012,0)</f>
        <v>1017</v>
      </c>
      <c r="M35" s="315">
        <f>+L35</f>
        <v>1017</v>
      </c>
      <c r="N35" s="316">
        <v>0</v>
      </c>
      <c r="O35" s="316">
        <f t="shared" si="1"/>
        <v>1017</v>
      </c>
      <c r="P35" s="290"/>
      <c r="Q35" s="316"/>
    </row>
    <row r="36" spans="1:17" s="82" customFormat="1" ht="24.95" customHeight="1">
      <c r="A36" s="284"/>
      <c r="B36" s="285"/>
      <c r="C36" s="285"/>
      <c r="D36" s="286"/>
      <c r="E36" s="292"/>
      <c r="F36" s="293"/>
      <c r="G36" s="510" t="s">
        <v>905</v>
      </c>
      <c r="H36" s="510"/>
      <c r="I36" s="510"/>
      <c r="J36" s="296"/>
      <c r="K36" s="296"/>
      <c r="L36" s="291"/>
      <c r="M36" s="315"/>
      <c r="N36" s="316"/>
      <c r="O36" s="316"/>
      <c r="P36" s="290"/>
      <c r="Q36" s="316"/>
    </row>
    <row r="37" spans="1:17" s="82" customFormat="1" ht="24.95" customHeight="1">
      <c r="A37" s="284"/>
      <c r="B37" s="285"/>
      <c r="C37" s="285"/>
      <c r="D37" s="286"/>
      <c r="E37" s="300"/>
      <c r="F37" s="296"/>
      <c r="G37" s="296"/>
      <c r="H37" s="296"/>
      <c r="I37" s="511" t="s">
        <v>1498</v>
      </c>
      <c r="J37" s="511"/>
      <c r="K37" s="511"/>
      <c r="L37" s="291">
        <f>ROUNDDOWN(53000*5*12*90%/1000,0)</f>
        <v>2862</v>
      </c>
      <c r="M37" s="315">
        <f>+L37</f>
        <v>2862</v>
      </c>
      <c r="N37" s="316">
        <v>1144</v>
      </c>
      <c r="O37" s="316">
        <f t="shared" si="1"/>
        <v>1718</v>
      </c>
      <c r="P37" s="290"/>
      <c r="Q37" s="316" t="s">
        <v>1493</v>
      </c>
    </row>
    <row r="38" spans="1:17" s="82" customFormat="1" ht="24.95" customHeight="1">
      <c r="A38" s="284"/>
      <c r="B38" s="285"/>
      <c r="C38" s="285"/>
      <c r="D38" s="286"/>
      <c r="E38" s="292"/>
      <c r="F38" s="293"/>
      <c r="G38" s="510" t="s">
        <v>1499</v>
      </c>
      <c r="H38" s="510"/>
      <c r="I38" s="510"/>
      <c r="J38" s="296"/>
      <c r="K38" s="296"/>
      <c r="L38" s="291"/>
      <c r="M38" s="315"/>
      <c r="N38" s="316"/>
      <c r="O38" s="316"/>
      <c r="P38" s="290"/>
      <c r="Q38" s="316"/>
    </row>
    <row r="39" spans="1:17" s="82" customFormat="1" ht="24.95" customHeight="1">
      <c r="A39" s="284"/>
      <c r="B39" s="285"/>
      <c r="C39" s="285"/>
      <c r="D39" s="286"/>
      <c r="E39" s="509"/>
      <c r="F39" s="510"/>
      <c r="G39" s="510"/>
      <c r="H39" s="510"/>
      <c r="I39" s="510"/>
      <c r="J39" s="511" t="s">
        <v>1500</v>
      </c>
      <c r="K39" s="511"/>
      <c r="L39" s="291">
        <f>ROUNDDOWN(40000*48*12/1000,0)</f>
        <v>23040</v>
      </c>
      <c r="M39" s="315">
        <f>+L39</f>
        <v>23040</v>
      </c>
      <c r="N39" s="316">
        <v>14400</v>
      </c>
      <c r="O39" s="316">
        <f t="shared" si="1"/>
        <v>8640</v>
      </c>
      <c r="P39" s="290"/>
      <c r="Q39" s="316" t="s">
        <v>1493</v>
      </c>
    </row>
    <row r="40" spans="1:17" s="82" customFormat="1" ht="24.95" customHeight="1">
      <c r="A40" s="284"/>
      <c r="B40" s="285"/>
      <c r="C40" s="285"/>
      <c r="D40" s="286"/>
      <c r="E40" s="292"/>
      <c r="F40" s="293"/>
      <c r="G40" s="510" t="s">
        <v>1488</v>
      </c>
      <c r="H40" s="510"/>
      <c r="I40" s="510"/>
      <c r="J40" s="511"/>
      <c r="K40" s="511"/>
      <c r="L40" s="291"/>
      <c r="M40" s="315"/>
      <c r="N40" s="316"/>
      <c r="O40" s="316"/>
      <c r="P40" s="290"/>
      <c r="Q40" s="316"/>
    </row>
    <row r="41" spans="1:17" s="82" customFormat="1" ht="24.95" customHeight="1">
      <c r="A41" s="284"/>
      <c r="B41" s="285"/>
      <c r="C41" s="285"/>
      <c r="D41" s="286"/>
      <c r="E41" s="292"/>
      <c r="F41" s="293"/>
      <c r="G41" s="293"/>
      <c r="H41" s="293"/>
      <c r="I41" s="511" t="s">
        <v>1501</v>
      </c>
      <c r="J41" s="519"/>
      <c r="K41" s="519"/>
      <c r="L41" s="291">
        <f>ROUNDDOWN(40000*12*0.8*12/1000,0)</f>
        <v>4608</v>
      </c>
      <c r="M41" s="315">
        <f>+L41</f>
        <v>4608</v>
      </c>
      <c r="N41" s="316">
        <v>0</v>
      </c>
      <c r="O41" s="316">
        <f t="shared" si="1"/>
        <v>4608</v>
      </c>
      <c r="P41" s="290"/>
      <c r="Q41" s="316"/>
    </row>
    <row r="42" spans="1:17" s="82" customFormat="1" ht="24.95" customHeight="1">
      <c r="A42" s="284"/>
      <c r="B42" s="285"/>
      <c r="C42" s="285"/>
      <c r="D42" s="286"/>
      <c r="E42" s="292"/>
      <c r="F42" s="293"/>
      <c r="G42" s="510" t="s">
        <v>906</v>
      </c>
      <c r="H42" s="510"/>
      <c r="I42" s="510"/>
      <c r="J42" s="296"/>
      <c r="K42" s="296"/>
      <c r="L42" s="291"/>
      <c r="M42" s="315"/>
      <c r="N42" s="316"/>
      <c r="O42" s="316"/>
      <c r="P42" s="290"/>
      <c r="Q42" s="316"/>
    </row>
    <row r="43" spans="1:17" s="82" customFormat="1" ht="24.95" customHeight="1">
      <c r="A43" s="284"/>
      <c r="B43" s="285"/>
      <c r="C43" s="285"/>
      <c r="D43" s="286"/>
      <c r="E43" s="516" t="s">
        <v>1502</v>
      </c>
      <c r="F43" s="518"/>
      <c r="G43" s="518"/>
      <c r="H43" s="518"/>
      <c r="I43" s="518"/>
      <c r="J43" s="518"/>
      <c r="K43" s="518"/>
      <c r="L43" s="291">
        <f>ROUNDDOWN(40000*60*12*90%/1000,0)</f>
        <v>25920</v>
      </c>
      <c r="M43" s="315">
        <f>+L43</f>
        <v>25920</v>
      </c>
      <c r="N43" s="316">
        <v>12960</v>
      </c>
      <c r="O43" s="316">
        <f t="shared" si="1"/>
        <v>12960</v>
      </c>
      <c r="P43" s="290"/>
      <c r="Q43" s="316" t="s">
        <v>1503</v>
      </c>
    </row>
    <row r="44" spans="1:17" s="82" customFormat="1" ht="24.95" customHeight="1">
      <c r="A44" s="284"/>
      <c r="B44" s="285"/>
      <c r="C44" s="285"/>
      <c r="D44" s="286"/>
      <c r="E44" s="509" t="s">
        <v>907</v>
      </c>
      <c r="F44" s="510"/>
      <c r="G44" s="510"/>
      <c r="H44" s="510"/>
      <c r="I44" s="510"/>
      <c r="J44" s="511"/>
      <c r="K44" s="511"/>
      <c r="L44" s="291"/>
      <c r="M44" s="315"/>
      <c r="N44" s="316"/>
      <c r="O44" s="316"/>
      <c r="P44" s="290"/>
      <c r="Q44" s="316"/>
    </row>
    <row r="45" spans="1:17" s="82" customFormat="1" ht="24.95" customHeight="1">
      <c r="A45" s="284"/>
      <c r="B45" s="285"/>
      <c r="C45" s="285"/>
      <c r="D45" s="286"/>
      <c r="E45" s="292"/>
      <c r="F45" s="293"/>
      <c r="G45" s="510" t="s">
        <v>1504</v>
      </c>
      <c r="H45" s="510"/>
      <c r="I45" s="510"/>
      <c r="J45" s="517"/>
      <c r="K45" s="296"/>
      <c r="L45" s="291"/>
      <c r="M45" s="315"/>
      <c r="N45" s="316"/>
      <c r="O45" s="316"/>
      <c r="P45" s="290"/>
      <c r="Q45" s="316"/>
    </row>
    <row r="46" spans="1:17" s="236" customFormat="1" ht="24.95" hidden="1" customHeight="1">
      <c r="A46" s="301"/>
      <c r="B46" s="302"/>
      <c r="C46" s="302"/>
      <c r="D46" s="303"/>
      <c r="E46" s="509" t="s">
        <v>1505</v>
      </c>
      <c r="F46" s="510"/>
      <c r="G46" s="510"/>
      <c r="H46" s="510"/>
      <c r="I46" s="510"/>
      <c r="J46" s="511"/>
      <c r="K46" s="511"/>
      <c r="L46" s="291"/>
      <c r="M46" s="315"/>
      <c r="N46" s="316"/>
      <c r="O46" s="316"/>
      <c r="P46" s="290"/>
      <c r="Q46" s="316"/>
    </row>
    <row r="47" spans="1:17" s="236" customFormat="1" ht="24.95" hidden="1" customHeight="1">
      <c r="A47" s="301"/>
      <c r="B47" s="302"/>
      <c r="C47" s="302"/>
      <c r="D47" s="303"/>
      <c r="E47" s="516" t="s">
        <v>909</v>
      </c>
      <c r="F47" s="511"/>
      <c r="G47" s="511"/>
      <c r="H47" s="511"/>
      <c r="I47" s="511"/>
      <c r="J47" s="511"/>
      <c r="K47" s="511"/>
      <c r="L47" s="291">
        <v>0</v>
      </c>
      <c r="M47" s="315">
        <f>+L47</f>
        <v>0</v>
      </c>
      <c r="N47" s="316">
        <v>180000</v>
      </c>
      <c r="O47" s="316">
        <f t="shared" si="1"/>
        <v>-180000</v>
      </c>
      <c r="P47" s="290"/>
      <c r="Q47" s="316" t="s">
        <v>1506</v>
      </c>
    </row>
    <row r="48" spans="1:17" s="236" customFormat="1" ht="24.95" hidden="1" customHeight="1">
      <c r="A48" s="301"/>
      <c r="B48" s="302"/>
      <c r="C48" s="302"/>
      <c r="D48" s="303"/>
      <c r="E48" s="509" t="s">
        <v>1507</v>
      </c>
      <c r="F48" s="510"/>
      <c r="G48" s="510"/>
      <c r="H48" s="510"/>
      <c r="I48" s="510"/>
      <c r="J48" s="511"/>
      <c r="K48" s="511"/>
      <c r="L48" s="291"/>
      <c r="M48" s="315"/>
      <c r="N48" s="316"/>
      <c r="O48" s="316"/>
      <c r="P48" s="290"/>
      <c r="Q48" s="316"/>
    </row>
    <row r="49" spans="1:17" s="236" customFormat="1" ht="24.95" hidden="1" customHeight="1">
      <c r="A49" s="301"/>
      <c r="B49" s="302"/>
      <c r="C49" s="302"/>
      <c r="D49" s="303"/>
      <c r="E49" s="516" t="s">
        <v>910</v>
      </c>
      <c r="F49" s="511"/>
      <c r="G49" s="511"/>
      <c r="H49" s="511"/>
      <c r="I49" s="511"/>
      <c r="J49" s="511"/>
      <c r="K49" s="511"/>
      <c r="L49" s="291">
        <v>0</v>
      </c>
      <c r="M49" s="315">
        <f>+L49</f>
        <v>0</v>
      </c>
      <c r="N49" s="316">
        <v>194400</v>
      </c>
      <c r="O49" s="316">
        <f t="shared" si="1"/>
        <v>-194400</v>
      </c>
      <c r="P49" s="290"/>
      <c r="Q49" s="316" t="s">
        <v>1506</v>
      </c>
    </row>
    <row r="50" spans="1:17" s="82" customFormat="1" ht="24.95" customHeight="1">
      <c r="A50" s="284"/>
      <c r="B50" s="285"/>
      <c r="C50" s="285"/>
      <c r="D50" s="286"/>
      <c r="E50" s="509" t="s">
        <v>1508</v>
      </c>
      <c r="F50" s="510"/>
      <c r="G50" s="510"/>
      <c r="H50" s="510"/>
      <c r="I50" s="510"/>
      <c r="J50" s="511"/>
      <c r="K50" s="511"/>
      <c r="L50" s="291"/>
      <c r="M50" s="315"/>
      <c r="N50" s="316"/>
      <c r="O50" s="316"/>
      <c r="P50" s="290"/>
      <c r="Q50" s="316"/>
    </row>
    <row r="51" spans="1:17" s="82" customFormat="1" ht="24.95" customHeight="1">
      <c r="A51" s="284"/>
      <c r="B51" s="285"/>
      <c r="C51" s="285"/>
      <c r="D51" s="286"/>
      <c r="E51" s="516" t="s">
        <v>1509</v>
      </c>
      <c r="F51" s="511"/>
      <c r="G51" s="511"/>
      <c r="H51" s="511"/>
      <c r="I51" s="511"/>
      <c r="J51" s="511"/>
      <c r="K51" s="511"/>
      <c r="L51" s="291">
        <f>ROUNDDOWN(36000*200*0.012,0)</f>
        <v>86400</v>
      </c>
      <c r="M51" s="315">
        <f>+L51</f>
        <v>86400</v>
      </c>
      <c r="N51" s="316">
        <v>32400</v>
      </c>
      <c r="O51" s="316">
        <f t="shared" si="1"/>
        <v>54000</v>
      </c>
      <c r="P51" s="290"/>
      <c r="Q51" s="316" t="s">
        <v>1510</v>
      </c>
    </row>
    <row r="52" spans="1:17" s="82" customFormat="1" ht="24.95" customHeight="1">
      <c r="A52" s="284"/>
      <c r="B52" s="285"/>
      <c r="C52" s="285"/>
      <c r="D52" s="286"/>
      <c r="E52" s="509" t="s">
        <v>1511</v>
      </c>
      <c r="F52" s="510"/>
      <c r="G52" s="510"/>
      <c r="H52" s="510"/>
      <c r="I52" s="510"/>
      <c r="J52" s="511"/>
      <c r="K52" s="511"/>
      <c r="L52" s="291"/>
      <c r="M52" s="315"/>
      <c r="N52" s="316"/>
      <c r="O52" s="316"/>
      <c r="P52" s="290"/>
      <c r="Q52" s="316"/>
    </row>
    <row r="53" spans="1:17" s="82" customFormat="1" ht="24.95" customHeight="1">
      <c r="A53" s="284"/>
      <c r="B53" s="285"/>
      <c r="C53" s="285"/>
      <c r="D53" s="286"/>
      <c r="E53" s="292"/>
      <c r="F53" s="293"/>
      <c r="G53" s="293"/>
      <c r="H53" s="293"/>
      <c r="I53" s="511" t="s">
        <v>1512</v>
      </c>
      <c r="J53" s="511"/>
      <c r="K53" s="511"/>
      <c r="L53" s="291">
        <f>ROUNDDOWN(36000*50*0.8*0.012,0)</f>
        <v>17280</v>
      </c>
      <c r="M53" s="315">
        <f>+L53</f>
        <v>17280</v>
      </c>
      <c r="N53" s="316">
        <v>0</v>
      </c>
      <c r="O53" s="316">
        <f t="shared" si="1"/>
        <v>17280</v>
      </c>
      <c r="P53" s="290"/>
      <c r="Q53" s="316"/>
    </row>
    <row r="54" spans="1:17" s="82" customFormat="1" ht="24.95" customHeight="1">
      <c r="A54" s="284"/>
      <c r="B54" s="285"/>
      <c r="C54" s="285"/>
      <c r="D54" s="286"/>
      <c r="E54" s="509" t="s">
        <v>1513</v>
      </c>
      <c r="F54" s="510"/>
      <c r="G54" s="510"/>
      <c r="H54" s="510"/>
      <c r="I54" s="510"/>
      <c r="J54" s="511"/>
      <c r="K54" s="511"/>
      <c r="L54" s="291"/>
      <c r="M54" s="315"/>
      <c r="N54" s="316"/>
      <c r="O54" s="316"/>
      <c r="P54" s="290"/>
      <c r="Q54" s="316"/>
    </row>
    <row r="55" spans="1:17" s="82" customFormat="1" ht="24.95" customHeight="1">
      <c r="A55" s="284"/>
      <c r="B55" s="285"/>
      <c r="C55" s="285"/>
      <c r="D55" s="286"/>
      <c r="E55" s="516" t="s">
        <v>1514</v>
      </c>
      <c r="F55" s="511"/>
      <c r="G55" s="511"/>
      <c r="H55" s="511"/>
      <c r="I55" s="511"/>
      <c r="J55" s="511"/>
      <c r="K55" s="511"/>
      <c r="L55" s="291">
        <f>ROUNDDOWN(36000*350*12*90%/1000,0)</f>
        <v>136080</v>
      </c>
      <c r="M55" s="315">
        <f>+L55</f>
        <v>136080</v>
      </c>
      <c r="N55" s="316">
        <v>23328</v>
      </c>
      <c r="O55" s="316">
        <f t="shared" si="1"/>
        <v>112752</v>
      </c>
      <c r="P55" s="290"/>
      <c r="Q55" s="316" t="s">
        <v>1510</v>
      </c>
    </row>
    <row r="56" spans="1:17" s="82" customFormat="1" ht="24.95" customHeight="1">
      <c r="A56" s="284"/>
      <c r="B56" s="285"/>
      <c r="C56" s="285"/>
      <c r="D56" s="286"/>
      <c r="E56" s="509" t="s">
        <v>1515</v>
      </c>
      <c r="F56" s="510"/>
      <c r="G56" s="510"/>
      <c r="H56" s="510"/>
      <c r="I56" s="510"/>
      <c r="J56" s="511"/>
      <c r="K56" s="511"/>
      <c r="L56" s="291"/>
      <c r="M56" s="315"/>
      <c r="N56" s="316"/>
      <c r="O56" s="316"/>
      <c r="P56" s="290"/>
      <c r="Q56" s="316"/>
    </row>
    <row r="57" spans="1:17" s="82" customFormat="1" ht="24.95" customHeight="1">
      <c r="A57" s="284"/>
      <c r="B57" s="285"/>
      <c r="C57" s="285"/>
      <c r="D57" s="286"/>
      <c r="E57" s="516" t="s">
        <v>1516</v>
      </c>
      <c r="F57" s="511"/>
      <c r="G57" s="511"/>
      <c r="H57" s="511"/>
      <c r="I57" s="511"/>
      <c r="J57" s="511"/>
      <c r="K57" s="511"/>
      <c r="L57" s="291">
        <f>ROUNDDOWN(24000*200*0.012,0)</f>
        <v>57600</v>
      </c>
      <c r="M57" s="315">
        <f>+L57</f>
        <v>57600</v>
      </c>
      <c r="N57" s="316">
        <v>21600</v>
      </c>
      <c r="O57" s="316">
        <f t="shared" si="1"/>
        <v>36000</v>
      </c>
      <c r="P57" s="290"/>
      <c r="Q57" s="316" t="s">
        <v>1510</v>
      </c>
    </row>
    <row r="58" spans="1:17" s="82" customFormat="1" ht="24.95" customHeight="1">
      <c r="A58" s="284"/>
      <c r="B58" s="285"/>
      <c r="C58" s="285"/>
      <c r="D58" s="286"/>
      <c r="E58" s="509" t="s">
        <v>1517</v>
      </c>
      <c r="F58" s="510"/>
      <c r="G58" s="510"/>
      <c r="H58" s="510"/>
      <c r="I58" s="510"/>
      <c r="J58" s="511"/>
      <c r="K58" s="511"/>
      <c r="L58" s="291"/>
      <c r="M58" s="315"/>
      <c r="N58" s="316"/>
      <c r="O58" s="316"/>
      <c r="P58" s="290"/>
      <c r="Q58" s="316"/>
    </row>
    <row r="59" spans="1:17" s="82" customFormat="1" ht="24.95" customHeight="1">
      <c r="A59" s="284"/>
      <c r="B59" s="285"/>
      <c r="C59" s="285"/>
      <c r="D59" s="286"/>
      <c r="E59" s="292"/>
      <c r="F59" s="293"/>
      <c r="G59" s="293"/>
      <c r="H59" s="293"/>
      <c r="I59" s="511" t="s">
        <v>1518</v>
      </c>
      <c r="J59" s="511"/>
      <c r="K59" s="511"/>
      <c r="L59" s="291">
        <f>ROUNDDOWN(24000*50*0.8*0.012,0)</f>
        <v>11520</v>
      </c>
      <c r="M59" s="315">
        <f>+L59</f>
        <v>11520</v>
      </c>
      <c r="N59" s="316">
        <v>0</v>
      </c>
      <c r="O59" s="316">
        <f t="shared" si="1"/>
        <v>11520</v>
      </c>
      <c r="P59" s="290"/>
      <c r="Q59" s="316"/>
    </row>
    <row r="60" spans="1:17" s="82" customFormat="1" ht="24.95" customHeight="1">
      <c r="A60" s="284"/>
      <c r="B60" s="285"/>
      <c r="C60" s="285"/>
      <c r="D60" s="286"/>
      <c r="E60" s="509" t="s">
        <v>1519</v>
      </c>
      <c r="F60" s="510"/>
      <c r="G60" s="510"/>
      <c r="H60" s="510"/>
      <c r="I60" s="510"/>
      <c r="J60" s="511"/>
      <c r="K60" s="511"/>
      <c r="L60" s="291"/>
      <c r="M60" s="315"/>
      <c r="N60" s="316"/>
      <c r="O60" s="316"/>
      <c r="P60" s="290"/>
      <c r="Q60" s="316"/>
    </row>
    <row r="61" spans="1:17" s="82" customFormat="1" ht="24.95" customHeight="1">
      <c r="A61" s="284"/>
      <c r="B61" s="285"/>
      <c r="C61" s="285"/>
      <c r="D61" s="286"/>
      <c r="E61" s="516" t="s">
        <v>1520</v>
      </c>
      <c r="F61" s="511"/>
      <c r="G61" s="511"/>
      <c r="H61" s="511"/>
      <c r="I61" s="511"/>
      <c r="J61" s="511"/>
      <c r="K61" s="511"/>
      <c r="L61" s="291">
        <f>ROUNDDOWN(24000*350*12*90%/1000,0)</f>
        <v>90720</v>
      </c>
      <c r="M61" s="315">
        <f>+L61</f>
        <v>90720</v>
      </c>
      <c r="N61" s="316">
        <v>15552</v>
      </c>
      <c r="O61" s="316">
        <f t="shared" si="1"/>
        <v>75168</v>
      </c>
      <c r="P61" s="290"/>
      <c r="Q61" s="316" t="s">
        <v>1510</v>
      </c>
    </row>
    <row r="62" spans="1:17" s="82" customFormat="1" ht="24.95" customHeight="1">
      <c r="A62" s="284"/>
      <c r="B62" s="285"/>
      <c r="C62" s="285"/>
      <c r="D62" s="286"/>
      <c r="E62" s="292"/>
      <c r="F62" s="293"/>
      <c r="G62" s="510" t="s">
        <v>1521</v>
      </c>
      <c r="H62" s="510"/>
      <c r="I62" s="510"/>
      <c r="J62" s="520"/>
      <c r="K62" s="296"/>
      <c r="L62" s="291"/>
      <c r="M62" s="315"/>
      <c r="N62" s="316"/>
      <c r="O62" s="316"/>
      <c r="P62" s="290"/>
      <c r="Q62" s="316"/>
    </row>
    <row r="63" spans="1:17" s="236" customFormat="1" ht="24.95" hidden="1" customHeight="1">
      <c r="A63" s="301"/>
      <c r="B63" s="302"/>
      <c r="C63" s="302"/>
      <c r="D63" s="303"/>
      <c r="E63" s="509" t="s">
        <v>1505</v>
      </c>
      <c r="F63" s="510"/>
      <c r="G63" s="510"/>
      <c r="H63" s="510"/>
      <c r="I63" s="510"/>
      <c r="J63" s="511"/>
      <c r="K63" s="511"/>
      <c r="L63" s="291"/>
      <c r="M63" s="315"/>
      <c r="N63" s="316"/>
      <c r="O63" s="316"/>
      <c r="P63" s="290"/>
      <c r="Q63" s="316"/>
    </row>
    <row r="64" spans="1:17" s="236" customFormat="1" ht="24.95" hidden="1" customHeight="1">
      <c r="A64" s="301"/>
      <c r="B64" s="302"/>
      <c r="C64" s="302"/>
      <c r="D64" s="303"/>
      <c r="E64" s="509"/>
      <c r="F64" s="510"/>
      <c r="G64" s="510"/>
      <c r="H64" s="510"/>
      <c r="I64" s="510"/>
      <c r="J64" s="511" t="s">
        <v>911</v>
      </c>
      <c r="K64" s="511"/>
      <c r="L64" s="291">
        <v>0</v>
      </c>
      <c r="M64" s="315">
        <f>+L64</f>
        <v>0</v>
      </c>
      <c r="N64" s="316">
        <v>16500</v>
      </c>
      <c r="O64" s="316">
        <f t="shared" si="1"/>
        <v>-16500</v>
      </c>
      <c r="P64" s="290"/>
      <c r="Q64" s="316" t="s">
        <v>1506</v>
      </c>
    </row>
    <row r="65" spans="1:17" s="236" customFormat="1" ht="24.95" hidden="1" customHeight="1">
      <c r="A65" s="301"/>
      <c r="B65" s="302"/>
      <c r="C65" s="302"/>
      <c r="D65" s="303"/>
      <c r="E65" s="509" t="s">
        <v>1507</v>
      </c>
      <c r="F65" s="510"/>
      <c r="G65" s="510"/>
      <c r="H65" s="510"/>
      <c r="I65" s="510"/>
      <c r="J65" s="511"/>
      <c r="K65" s="511"/>
      <c r="L65" s="291"/>
      <c r="M65" s="315"/>
      <c r="N65" s="316"/>
      <c r="O65" s="316"/>
      <c r="P65" s="290"/>
      <c r="Q65" s="316"/>
    </row>
    <row r="66" spans="1:17" s="236" customFormat="1" ht="24.95" hidden="1" customHeight="1">
      <c r="A66" s="301"/>
      <c r="B66" s="302"/>
      <c r="C66" s="302"/>
      <c r="D66" s="303"/>
      <c r="E66" s="516" t="s">
        <v>912</v>
      </c>
      <c r="F66" s="511"/>
      <c r="G66" s="511"/>
      <c r="H66" s="511"/>
      <c r="I66" s="511"/>
      <c r="J66" s="511"/>
      <c r="K66" s="511"/>
      <c r="L66" s="291">
        <v>0</v>
      </c>
      <c r="M66" s="315">
        <f>+L66</f>
        <v>0</v>
      </c>
      <c r="N66" s="316">
        <v>20790</v>
      </c>
      <c r="O66" s="316">
        <f t="shared" si="1"/>
        <v>-20790</v>
      </c>
      <c r="P66" s="290"/>
      <c r="Q66" s="316" t="s">
        <v>1506</v>
      </c>
    </row>
    <row r="67" spans="1:17" s="82" customFormat="1" ht="24.95" customHeight="1">
      <c r="A67" s="284"/>
      <c r="B67" s="285"/>
      <c r="C67" s="285"/>
      <c r="D67" s="286"/>
      <c r="E67" s="509" t="s">
        <v>1508</v>
      </c>
      <c r="F67" s="510"/>
      <c r="G67" s="510"/>
      <c r="H67" s="510"/>
      <c r="I67" s="510"/>
      <c r="J67" s="511"/>
      <c r="K67" s="511"/>
      <c r="L67" s="291"/>
      <c r="M67" s="315"/>
      <c r="N67" s="316"/>
      <c r="O67" s="316"/>
      <c r="P67" s="290"/>
      <c r="Q67" s="316"/>
    </row>
    <row r="68" spans="1:17" s="82" customFormat="1" ht="24.95" customHeight="1">
      <c r="A68" s="284"/>
      <c r="B68" s="285"/>
      <c r="C68" s="285"/>
      <c r="D68" s="286"/>
      <c r="E68" s="509"/>
      <c r="F68" s="510"/>
      <c r="G68" s="510"/>
      <c r="H68" s="510"/>
      <c r="I68" s="510"/>
      <c r="J68" s="511" t="s">
        <v>1522</v>
      </c>
      <c r="K68" s="511"/>
      <c r="L68" s="291">
        <f>ROUNDDOWN(33000*20*0.012,0)</f>
        <v>7920</v>
      </c>
      <c r="M68" s="315">
        <f>+L68</f>
        <v>7920</v>
      </c>
      <c r="N68" s="316">
        <v>3960</v>
      </c>
      <c r="O68" s="316">
        <f t="shared" si="1"/>
        <v>3960</v>
      </c>
      <c r="P68" s="290"/>
      <c r="Q68" s="316" t="s">
        <v>1510</v>
      </c>
    </row>
    <row r="69" spans="1:17" s="82" customFormat="1" ht="24.95" customHeight="1">
      <c r="A69" s="284"/>
      <c r="B69" s="285"/>
      <c r="C69" s="285"/>
      <c r="D69" s="286"/>
      <c r="E69" s="509" t="s">
        <v>1511</v>
      </c>
      <c r="F69" s="510"/>
      <c r="G69" s="510"/>
      <c r="H69" s="510"/>
      <c r="I69" s="510"/>
      <c r="J69" s="511"/>
      <c r="K69" s="511"/>
      <c r="L69" s="291"/>
      <c r="M69" s="315"/>
      <c r="N69" s="316"/>
      <c r="O69" s="316"/>
      <c r="P69" s="290"/>
      <c r="Q69" s="316"/>
    </row>
    <row r="70" spans="1:17" s="82" customFormat="1" ht="24.95" customHeight="1">
      <c r="A70" s="284"/>
      <c r="B70" s="285"/>
      <c r="C70" s="285"/>
      <c r="D70" s="286"/>
      <c r="E70" s="292"/>
      <c r="F70" s="293"/>
      <c r="G70" s="293"/>
      <c r="H70" s="293"/>
      <c r="I70" s="511" t="s">
        <v>1523</v>
      </c>
      <c r="J70" s="511"/>
      <c r="K70" s="511"/>
      <c r="L70" s="291">
        <f>ROUNDDOWN(33000*5*0.8*0.012,0)</f>
        <v>1584</v>
      </c>
      <c r="M70" s="315">
        <f>+L70</f>
        <v>1584</v>
      </c>
      <c r="N70" s="316">
        <v>0</v>
      </c>
      <c r="O70" s="316">
        <f t="shared" si="1"/>
        <v>1584</v>
      </c>
      <c r="P70" s="290"/>
      <c r="Q70" s="316"/>
    </row>
    <row r="71" spans="1:17" s="82" customFormat="1" ht="24.95" customHeight="1">
      <c r="A71" s="284"/>
      <c r="B71" s="285"/>
      <c r="C71" s="285"/>
      <c r="D71" s="286"/>
      <c r="E71" s="509" t="s">
        <v>1513</v>
      </c>
      <c r="F71" s="510"/>
      <c r="G71" s="510"/>
      <c r="H71" s="510"/>
      <c r="I71" s="510"/>
      <c r="J71" s="511"/>
      <c r="K71" s="511"/>
      <c r="L71" s="291"/>
      <c r="M71" s="315"/>
      <c r="N71" s="316"/>
      <c r="O71" s="316"/>
      <c r="P71" s="290"/>
      <c r="Q71" s="316"/>
    </row>
    <row r="72" spans="1:17" s="82" customFormat="1" ht="24.95" customHeight="1">
      <c r="A72" s="284"/>
      <c r="B72" s="285"/>
      <c r="C72" s="285"/>
      <c r="D72" s="286"/>
      <c r="E72" s="516" t="s">
        <v>1524</v>
      </c>
      <c r="F72" s="511"/>
      <c r="G72" s="511"/>
      <c r="H72" s="511"/>
      <c r="I72" s="511"/>
      <c r="J72" s="511"/>
      <c r="K72" s="511"/>
      <c r="L72" s="291">
        <f>ROUNDDOWN(33000*35*12*90%/1000,0)</f>
        <v>12474</v>
      </c>
      <c r="M72" s="315">
        <f>+L72</f>
        <v>12474</v>
      </c>
      <c r="N72" s="316">
        <v>3564</v>
      </c>
      <c r="O72" s="316">
        <f t="shared" si="1"/>
        <v>8910</v>
      </c>
      <c r="P72" s="290"/>
      <c r="Q72" s="316" t="s">
        <v>1510</v>
      </c>
    </row>
    <row r="73" spans="1:17" s="82" customFormat="1" ht="24.95" customHeight="1">
      <c r="A73" s="284"/>
      <c r="B73" s="285"/>
      <c r="C73" s="285"/>
      <c r="D73" s="286"/>
      <c r="E73" s="509" t="s">
        <v>1515</v>
      </c>
      <c r="F73" s="510"/>
      <c r="G73" s="510"/>
      <c r="H73" s="510"/>
      <c r="I73" s="510"/>
      <c r="J73" s="511"/>
      <c r="K73" s="511"/>
      <c r="L73" s="291"/>
      <c r="M73" s="315"/>
      <c r="N73" s="316"/>
      <c r="O73" s="316"/>
      <c r="P73" s="290"/>
      <c r="Q73" s="316"/>
    </row>
    <row r="74" spans="1:17" s="82" customFormat="1" ht="24.95" customHeight="1">
      <c r="A74" s="284"/>
      <c r="B74" s="285"/>
      <c r="C74" s="285"/>
      <c r="D74" s="286"/>
      <c r="E74" s="509"/>
      <c r="F74" s="510"/>
      <c r="G74" s="510"/>
      <c r="H74" s="510"/>
      <c r="I74" s="510"/>
      <c r="J74" s="511" t="s">
        <v>1525</v>
      </c>
      <c r="K74" s="511"/>
      <c r="L74" s="291">
        <f>ROUNDDOWN(22000*20*0.012,0)</f>
        <v>5280</v>
      </c>
      <c r="M74" s="315">
        <f>+L74</f>
        <v>5280</v>
      </c>
      <c r="N74" s="316">
        <v>2640</v>
      </c>
      <c r="O74" s="316">
        <f t="shared" si="1"/>
        <v>2640</v>
      </c>
      <c r="P74" s="290"/>
      <c r="Q74" s="316" t="s">
        <v>1510</v>
      </c>
    </row>
    <row r="75" spans="1:17" s="82" customFormat="1" ht="24.95" customHeight="1">
      <c r="A75" s="284"/>
      <c r="B75" s="285"/>
      <c r="C75" s="285"/>
      <c r="D75" s="286"/>
      <c r="E75" s="509" t="s">
        <v>1517</v>
      </c>
      <c r="F75" s="510"/>
      <c r="G75" s="510"/>
      <c r="H75" s="510"/>
      <c r="I75" s="510"/>
      <c r="J75" s="511"/>
      <c r="K75" s="511"/>
      <c r="L75" s="291"/>
      <c r="M75" s="315"/>
      <c r="N75" s="316"/>
      <c r="O75" s="316"/>
      <c r="P75" s="290"/>
      <c r="Q75" s="316"/>
    </row>
    <row r="76" spans="1:17" s="82" customFormat="1" ht="24.95" customHeight="1">
      <c r="A76" s="284"/>
      <c r="B76" s="285"/>
      <c r="C76" s="285"/>
      <c r="D76" s="286"/>
      <c r="E76" s="292"/>
      <c r="F76" s="293"/>
      <c r="G76" s="293"/>
      <c r="H76" s="293"/>
      <c r="I76" s="511" t="s">
        <v>1526</v>
      </c>
      <c r="J76" s="511"/>
      <c r="K76" s="511"/>
      <c r="L76" s="291">
        <f>ROUNDDOWN(22000*5*0.8*0.012,0)</f>
        <v>1056</v>
      </c>
      <c r="M76" s="315">
        <f>+L76</f>
        <v>1056</v>
      </c>
      <c r="N76" s="316">
        <v>0</v>
      </c>
      <c r="O76" s="316">
        <f t="shared" si="1"/>
        <v>1056</v>
      </c>
      <c r="P76" s="290"/>
      <c r="Q76" s="316"/>
    </row>
    <row r="77" spans="1:17" s="82" customFormat="1" ht="24.95" customHeight="1">
      <c r="A77" s="284"/>
      <c r="B77" s="285"/>
      <c r="C77" s="285"/>
      <c r="D77" s="286"/>
      <c r="E77" s="509" t="s">
        <v>1519</v>
      </c>
      <c r="F77" s="510"/>
      <c r="G77" s="510"/>
      <c r="H77" s="510"/>
      <c r="I77" s="510"/>
      <c r="J77" s="511"/>
      <c r="K77" s="511"/>
      <c r="L77" s="291"/>
      <c r="M77" s="315"/>
      <c r="N77" s="316"/>
      <c r="O77" s="316"/>
      <c r="P77" s="290"/>
      <c r="Q77" s="316"/>
    </row>
    <row r="78" spans="1:17" s="82" customFormat="1" ht="24.95" customHeight="1">
      <c r="A78" s="284"/>
      <c r="B78" s="285"/>
      <c r="C78" s="285"/>
      <c r="D78" s="286"/>
      <c r="E78" s="516" t="s">
        <v>1527</v>
      </c>
      <c r="F78" s="518"/>
      <c r="G78" s="518"/>
      <c r="H78" s="518"/>
      <c r="I78" s="518"/>
      <c r="J78" s="518"/>
      <c r="K78" s="518"/>
      <c r="L78" s="291">
        <f>ROUNDDOWN(22000*35*12*90%/1000,0)</f>
        <v>8316</v>
      </c>
      <c r="M78" s="315">
        <f>+L78</f>
        <v>8316</v>
      </c>
      <c r="N78" s="316">
        <v>2376</v>
      </c>
      <c r="O78" s="316">
        <f t="shared" si="1"/>
        <v>5940</v>
      </c>
      <c r="P78" s="290"/>
      <c r="Q78" s="316" t="s">
        <v>1510</v>
      </c>
    </row>
    <row r="79" spans="1:17" s="82" customFormat="1" ht="24.95" customHeight="1">
      <c r="A79" s="284"/>
      <c r="B79" s="285"/>
      <c r="C79" s="285"/>
      <c r="D79" s="286"/>
      <c r="E79" s="292"/>
      <c r="F79" s="293"/>
      <c r="G79" s="510" t="s">
        <v>1528</v>
      </c>
      <c r="H79" s="510"/>
      <c r="I79" s="510"/>
      <c r="J79" s="296"/>
      <c r="K79" s="296"/>
      <c r="L79" s="291"/>
      <c r="M79" s="315"/>
      <c r="N79" s="316"/>
      <c r="O79" s="316"/>
      <c r="P79" s="290"/>
      <c r="Q79" s="316"/>
    </row>
    <row r="80" spans="1:17" s="236" customFormat="1" ht="24.95" hidden="1" customHeight="1">
      <c r="A80" s="301"/>
      <c r="B80" s="302"/>
      <c r="C80" s="302"/>
      <c r="D80" s="303"/>
      <c r="E80" s="509" t="s">
        <v>1505</v>
      </c>
      <c r="F80" s="510"/>
      <c r="G80" s="510"/>
      <c r="H80" s="510"/>
      <c r="I80" s="510"/>
      <c r="J80" s="511"/>
      <c r="K80" s="511"/>
      <c r="L80" s="291"/>
      <c r="M80" s="315"/>
      <c r="N80" s="316"/>
      <c r="O80" s="316"/>
      <c r="P80" s="290"/>
      <c r="Q80" s="316"/>
    </row>
    <row r="81" spans="1:17" s="236" customFormat="1" ht="24.95" hidden="1" customHeight="1">
      <c r="A81" s="301"/>
      <c r="B81" s="302"/>
      <c r="C81" s="302"/>
      <c r="D81" s="303"/>
      <c r="E81" s="509"/>
      <c r="F81" s="510"/>
      <c r="G81" s="510"/>
      <c r="H81" s="510"/>
      <c r="I81" s="510"/>
      <c r="J81" s="511" t="s">
        <v>914</v>
      </c>
      <c r="K81" s="511"/>
      <c r="L81" s="291">
        <v>0</v>
      </c>
      <c r="M81" s="315">
        <f>+L81</f>
        <v>0</v>
      </c>
      <c r="N81" s="316">
        <v>43200</v>
      </c>
      <c r="O81" s="316">
        <f t="shared" ref="O81:O145" si="2">+M81-N81</f>
        <v>-43200</v>
      </c>
      <c r="P81" s="290"/>
      <c r="Q81" s="316" t="s">
        <v>1506</v>
      </c>
    </row>
    <row r="82" spans="1:17" s="236" customFormat="1" ht="24.95" hidden="1" customHeight="1">
      <c r="A82" s="301"/>
      <c r="B82" s="302"/>
      <c r="C82" s="302"/>
      <c r="D82" s="303"/>
      <c r="E82" s="509" t="s">
        <v>1507</v>
      </c>
      <c r="F82" s="510"/>
      <c r="G82" s="510"/>
      <c r="H82" s="510"/>
      <c r="I82" s="510"/>
      <c r="J82" s="511"/>
      <c r="K82" s="511"/>
      <c r="L82" s="291"/>
      <c r="M82" s="315"/>
      <c r="N82" s="316"/>
      <c r="O82" s="316"/>
      <c r="P82" s="290"/>
      <c r="Q82" s="316"/>
    </row>
    <row r="83" spans="1:17" s="236" customFormat="1" ht="24.95" hidden="1" customHeight="1">
      <c r="A83" s="301"/>
      <c r="B83" s="302"/>
      <c r="C83" s="302"/>
      <c r="D83" s="303"/>
      <c r="E83" s="516" t="s">
        <v>915</v>
      </c>
      <c r="F83" s="511"/>
      <c r="G83" s="511"/>
      <c r="H83" s="511"/>
      <c r="I83" s="511"/>
      <c r="J83" s="511"/>
      <c r="K83" s="511"/>
      <c r="L83" s="291">
        <v>0</v>
      </c>
      <c r="M83" s="315">
        <f>+L83</f>
        <v>0</v>
      </c>
      <c r="N83" s="316">
        <v>162000</v>
      </c>
      <c r="O83" s="316">
        <f t="shared" si="2"/>
        <v>-162000</v>
      </c>
      <c r="P83" s="290"/>
      <c r="Q83" s="316" t="s">
        <v>1506</v>
      </c>
    </row>
    <row r="84" spans="1:17" s="82" customFormat="1" ht="24.95" customHeight="1">
      <c r="A84" s="284"/>
      <c r="B84" s="285"/>
      <c r="C84" s="285"/>
      <c r="D84" s="286"/>
      <c r="E84" s="509" t="s">
        <v>1508</v>
      </c>
      <c r="F84" s="510"/>
      <c r="G84" s="510"/>
      <c r="H84" s="510"/>
      <c r="I84" s="510"/>
      <c r="J84" s="511"/>
      <c r="K84" s="511"/>
      <c r="L84" s="291"/>
      <c r="M84" s="315"/>
      <c r="N84" s="316"/>
      <c r="O84" s="316"/>
      <c r="P84" s="290"/>
      <c r="Q84" s="316"/>
    </row>
    <row r="85" spans="1:17" s="82" customFormat="1" ht="24.95" customHeight="1">
      <c r="A85" s="284"/>
      <c r="B85" s="285"/>
      <c r="C85" s="285"/>
      <c r="D85" s="286"/>
      <c r="E85" s="509"/>
      <c r="F85" s="510"/>
      <c r="G85" s="510"/>
      <c r="H85" s="510"/>
      <c r="I85" s="510"/>
      <c r="J85" s="511" t="s">
        <v>1975</v>
      </c>
      <c r="K85" s="511"/>
      <c r="L85" s="291">
        <f>ROUNDDOWN(36000*26*0.012,0)</f>
        <v>11232</v>
      </c>
      <c r="M85" s="315">
        <f>+L85</f>
        <v>11232</v>
      </c>
      <c r="N85" s="316">
        <v>17280</v>
      </c>
      <c r="O85" s="316">
        <f t="shared" si="2"/>
        <v>-6048</v>
      </c>
      <c r="P85" s="290"/>
      <c r="Q85" s="316" t="s">
        <v>1510</v>
      </c>
    </row>
    <row r="86" spans="1:17" s="82" customFormat="1" ht="24.95" customHeight="1">
      <c r="A86" s="284"/>
      <c r="B86" s="285"/>
      <c r="C86" s="285"/>
      <c r="D86" s="286"/>
      <c r="E86" s="509" t="s">
        <v>1511</v>
      </c>
      <c r="F86" s="510"/>
      <c r="G86" s="510"/>
      <c r="H86" s="510"/>
      <c r="I86" s="510"/>
      <c r="J86" s="511"/>
      <c r="K86" s="511"/>
      <c r="L86" s="291"/>
      <c r="M86" s="315"/>
      <c r="N86" s="316"/>
      <c r="O86" s="316"/>
      <c r="P86" s="290"/>
      <c r="Q86" s="316"/>
    </row>
    <row r="87" spans="1:17" s="82" customFormat="1" ht="24.95" customHeight="1">
      <c r="A87" s="284"/>
      <c r="B87" s="285"/>
      <c r="C87" s="285"/>
      <c r="D87" s="286"/>
      <c r="E87" s="292"/>
      <c r="F87" s="293"/>
      <c r="G87" s="293"/>
      <c r="H87" s="293"/>
      <c r="I87" s="511" t="s">
        <v>1529</v>
      </c>
      <c r="J87" s="511"/>
      <c r="K87" s="511"/>
      <c r="L87" s="291">
        <f>ROUNDDOWN(36000*14*0.8*0.012,0)</f>
        <v>4838</v>
      </c>
      <c r="M87" s="315">
        <f>+L87</f>
        <v>4838</v>
      </c>
      <c r="N87" s="316">
        <v>0</v>
      </c>
      <c r="O87" s="316">
        <f t="shared" si="2"/>
        <v>4838</v>
      </c>
      <c r="P87" s="290"/>
      <c r="Q87" s="316"/>
    </row>
    <row r="88" spans="1:17" s="82" customFormat="1" ht="24.95" customHeight="1">
      <c r="A88" s="284"/>
      <c r="B88" s="285"/>
      <c r="C88" s="285"/>
      <c r="D88" s="286"/>
      <c r="E88" s="509" t="s">
        <v>1513</v>
      </c>
      <c r="F88" s="510"/>
      <c r="G88" s="510"/>
      <c r="H88" s="510"/>
      <c r="I88" s="510"/>
      <c r="J88" s="295"/>
      <c r="K88" s="295"/>
      <c r="L88" s="291"/>
      <c r="M88" s="315"/>
      <c r="N88" s="316"/>
      <c r="O88" s="316"/>
      <c r="P88" s="290"/>
      <c r="Q88" s="316"/>
    </row>
    <row r="89" spans="1:17" s="82" customFormat="1" ht="24.95" customHeight="1">
      <c r="A89" s="284"/>
      <c r="B89" s="285"/>
      <c r="C89" s="285"/>
      <c r="D89" s="286"/>
      <c r="E89" s="516" t="s">
        <v>1530</v>
      </c>
      <c r="F89" s="511"/>
      <c r="G89" s="511"/>
      <c r="H89" s="511"/>
      <c r="I89" s="511"/>
      <c r="J89" s="511"/>
      <c r="K89" s="511"/>
      <c r="L89" s="291">
        <f>ROUNDDOWN(36000*280*0.9*0.012,0)</f>
        <v>108864</v>
      </c>
      <c r="M89" s="315">
        <f>+L89</f>
        <v>108864</v>
      </c>
      <c r="N89" s="316">
        <v>38880</v>
      </c>
      <c r="O89" s="316">
        <f t="shared" si="2"/>
        <v>69984</v>
      </c>
      <c r="P89" s="290"/>
      <c r="Q89" s="316" t="s">
        <v>1510</v>
      </c>
    </row>
    <row r="90" spans="1:17" s="82" customFormat="1" ht="24.95" customHeight="1">
      <c r="A90" s="284"/>
      <c r="B90" s="285"/>
      <c r="C90" s="285"/>
      <c r="D90" s="286"/>
      <c r="E90" s="509" t="s">
        <v>1566</v>
      </c>
      <c r="F90" s="510"/>
      <c r="G90" s="510"/>
      <c r="H90" s="510"/>
      <c r="I90" s="510"/>
      <c r="J90" s="295"/>
      <c r="K90" s="295"/>
      <c r="L90" s="291"/>
      <c r="M90" s="315"/>
      <c r="N90" s="316"/>
      <c r="O90" s="316"/>
      <c r="P90" s="290"/>
      <c r="Q90" s="316"/>
    </row>
    <row r="91" spans="1:17" s="82" customFormat="1" ht="24.95" customHeight="1">
      <c r="A91" s="284"/>
      <c r="B91" s="285"/>
      <c r="C91" s="285"/>
      <c r="D91" s="286"/>
      <c r="E91" s="516" t="s">
        <v>1976</v>
      </c>
      <c r="F91" s="511"/>
      <c r="G91" s="511"/>
      <c r="H91" s="511"/>
      <c r="I91" s="511"/>
      <c r="J91" s="511"/>
      <c r="K91" s="511"/>
      <c r="L91" s="291">
        <f>ROUNDDOWN(36000*30*0.5*0.012,0)</f>
        <v>6480</v>
      </c>
      <c r="M91" s="315">
        <f>+L91</f>
        <v>6480</v>
      </c>
      <c r="N91" s="316">
        <v>0</v>
      </c>
      <c r="O91" s="316">
        <f t="shared" ref="O91" si="3">+M91-N91</f>
        <v>6480</v>
      </c>
      <c r="P91" s="290"/>
      <c r="Q91" s="316"/>
    </row>
    <row r="92" spans="1:17" s="82" customFormat="1" ht="24.95" customHeight="1">
      <c r="A92" s="284"/>
      <c r="B92" s="285"/>
      <c r="C92" s="285"/>
      <c r="D92" s="286"/>
      <c r="E92" s="509" t="s">
        <v>1515</v>
      </c>
      <c r="F92" s="510"/>
      <c r="G92" s="510"/>
      <c r="H92" s="510"/>
      <c r="I92" s="510"/>
      <c r="J92" s="515"/>
      <c r="K92" s="515"/>
      <c r="L92" s="291"/>
      <c r="M92" s="315"/>
      <c r="N92" s="316"/>
      <c r="O92" s="316"/>
      <c r="P92" s="290"/>
      <c r="Q92" s="316"/>
    </row>
    <row r="93" spans="1:17" s="82" customFormat="1" ht="24.95" customHeight="1">
      <c r="A93" s="284"/>
      <c r="B93" s="285"/>
      <c r="C93" s="285"/>
      <c r="D93" s="286"/>
      <c r="E93" s="516" t="s">
        <v>1977</v>
      </c>
      <c r="F93" s="511"/>
      <c r="G93" s="511"/>
      <c r="H93" s="511"/>
      <c r="I93" s="511"/>
      <c r="J93" s="511"/>
      <c r="K93" s="511"/>
      <c r="L93" s="291">
        <f>ROUNDDOWN(24000*26*0.012,0)</f>
        <v>7488</v>
      </c>
      <c r="M93" s="315">
        <f>+L93</f>
        <v>7488</v>
      </c>
      <c r="N93" s="316">
        <v>0</v>
      </c>
      <c r="O93" s="316">
        <f t="shared" si="2"/>
        <v>7488</v>
      </c>
      <c r="P93" s="290"/>
      <c r="Q93" s="316" t="s">
        <v>1510</v>
      </c>
    </row>
    <row r="94" spans="1:17" s="82" customFormat="1" ht="24.95" customHeight="1">
      <c r="A94" s="284"/>
      <c r="B94" s="285"/>
      <c r="C94" s="285"/>
      <c r="D94" s="286"/>
      <c r="E94" s="509" t="s">
        <v>1517</v>
      </c>
      <c r="F94" s="510"/>
      <c r="G94" s="510"/>
      <c r="H94" s="510"/>
      <c r="I94" s="510"/>
      <c r="J94" s="515"/>
      <c r="K94" s="515"/>
      <c r="L94" s="291"/>
      <c r="M94" s="315"/>
      <c r="N94" s="316"/>
      <c r="O94" s="316"/>
      <c r="P94" s="290"/>
      <c r="Q94" s="316"/>
    </row>
    <row r="95" spans="1:17" s="82" customFormat="1" ht="24.95" customHeight="1">
      <c r="A95" s="284"/>
      <c r="B95" s="285"/>
      <c r="C95" s="285"/>
      <c r="D95" s="286"/>
      <c r="E95" s="516" t="s">
        <v>1531</v>
      </c>
      <c r="F95" s="511"/>
      <c r="G95" s="511"/>
      <c r="H95" s="511"/>
      <c r="I95" s="511"/>
      <c r="J95" s="511"/>
      <c r="K95" s="511"/>
      <c r="L95" s="291">
        <f>ROUNDDOWN(24000*14*12*80%/1000,0)</f>
        <v>3225</v>
      </c>
      <c r="M95" s="315">
        <f>+L95</f>
        <v>3225</v>
      </c>
      <c r="N95" s="316">
        <v>0</v>
      </c>
      <c r="O95" s="316">
        <f t="shared" si="2"/>
        <v>3225</v>
      </c>
      <c r="P95" s="290"/>
      <c r="Q95" s="316"/>
    </row>
    <row r="96" spans="1:17" s="82" customFormat="1" ht="24.95" customHeight="1">
      <c r="A96" s="284"/>
      <c r="B96" s="285"/>
      <c r="C96" s="285"/>
      <c r="D96" s="286"/>
      <c r="E96" s="509" t="s">
        <v>1519</v>
      </c>
      <c r="F96" s="510"/>
      <c r="G96" s="510"/>
      <c r="H96" s="510"/>
      <c r="I96" s="510"/>
      <c r="J96" s="515"/>
      <c r="K96" s="515"/>
      <c r="L96" s="291"/>
      <c r="M96" s="315"/>
      <c r="N96" s="316"/>
      <c r="O96" s="316"/>
      <c r="P96" s="290"/>
      <c r="Q96" s="316"/>
    </row>
    <row r="97" spans="1:17" s="82" customFormat="1" ht="24.95" customHeight="1">
      <c r="A97" s="284"/>
      <c r="B97" s="285"/>
      <c r="C97" s="285"/>
      <c r="D97" s="286"/>
      <c r="E97" s="516" t="s">
        <v>1532</v>
      </c>
      <c r="F97" s="511"/>
      <c r="G97" s="511"/>
      <c r="H97" s="511"/>
      <c r="I97" s="511"/>
      <c r="J97" s="511"/>
      <c r="K97" s="511"/>
      <c r="L97" s="291">
        <f>ROUNDDOWN(24000*280*12*90%/1000,0)</f>
        <v>72576</v>
      </c>
      <c r="M97" s="315">
        <f>+L97</f>
        <v>72576</v>
      </c>
      <c r="N97" s="316">
        <v>0</v>
      </c>
      <c r="O97" s="316">
        <f t="shared" si="2"/>
        <v>72576</v>
      </c>
      <c r="P97" s="290"/>
      <c r="Q97" s="316" t="s">
        <v>1510</v>
      </c>
    </row>
    <row r="98" spans="1:17" s="82" customFormat="1" ht="24.95" customHeight="1">
      <c r="A98" s="284"/>
      <c r="B98" s="285"/>
      <c r="C98" s="285"/>
      <c r="D98" s="286"/>
      <c r="E98" s="509" t="s">
        <v>1569</v>
      </c>
      <c r="F98" s="510"/>
      <c r="G98" s="510"/>
      <c r="H98" s="510"/>
      <c r="I98" s="510"/>
      <c r="J98" s="295"/>
      <c r="K98" s="295"/>
      <c r="L98" s="291"/>
      <c r="M98" s="315"/>
      <c r="N98" s="316"/>
      <c r="O98" s="316"/>
      <c r="P98" s="290"/>
      <c r="Q98" s="316"/>
    </row>
    <row r="99" spans="1:17" s="82" customFormat="1" ht="24.95" customHeight="1">
      <c r="A99" s="284"/>
      <c r="B99" s="285"/>
      <c r="C99" s="285"/>
      <c r="D99" s="286"/>
      <c r="E99" s="516" t="s">
        <v>1978</v>
      </c>
      <c r="F99" s="511"/>
      <c r="G99" s="511"/>
      <c r="H99" s="511"/>
      <c r="I99" s="511"/>
      <c r="J99" s="511"/>
      <c r="K99" s="511"/>
      <c r="L99" s="291">
        <f>ROUNDDOWN(24000*30*0.5*0.012,0)</f>
        <v>4320</v>
      </c>
      <c r="M99" s="315">
        <f>+L99</f>
        <v>4320</v>
      </c>
      <c r="N99" s="316">
        <v>0</v>
      </c>
      <c r="O99" s="316">
        <f t="shared" ref="O99" si="4">+M99-N99</f>
        <v>4320</v>
      </c>
      <c r="P99" s="290"/>
      <c r="Q99" s="316"/>
    </row>
    <row r="100" spans="1:17" s="82" customFormat="1" ht="24.95" customHeight="1">
      <c r="A100" s="284"/>
      <c r="B100" s="285"/>
      <c r="C100" s="285"/>
      <c r="D100" s="286"/>
      <c r="E100" s="292"/>
      <c r="F100" s="293"/>
      <c r="G100" s="510" t="s">
        <v>1533</v>
      </c>
      <c r="H100" s="510"/>
      <c r="I100" s="510"/>
      <c r="J100" s="296"/>
      <c r="K100" s="296"/>
      <c r="L100" s="291"/>
      <c r="M100" s="315"/>
      <c r="N100" s="316"/>
      <c r="O100" s="316"/>
      <c r="P100" s="290"/>
      <c r="Q100" s="316"/>
    </row>
    <row r="101" spans="1:17" s="82" customFormat="1" ht="24.95" customHeight="1">
      <c r="A101" s="284"/>
      <c r="B101" s="285"/>
      <c r="C101" s="285"/>
      <c r="D101" s="286"/>
      <c r="E101" s="509" t="s">
        <v>1508</v>
      </c>
      <c r="F101" s="510"/>
      <c r="G101" s="510"/>
      <c r="H101" s="510"/>
      <c r="I101" s="510"/>
      <c r="J101" s="511"/>
      <c r="K101" s="511"/>
      <c r="L101" s="291"/>
      <c r="M101" s="315"/>
      <c r="N101" s="316"/>
      <c r="O101" s="316"/>
      <c r="P101" s="290"/>
      <c r="Q101" s="316"/>
    </row>
    <row r="102" spans="1:17" s="82" customFormat="1" ht="24.95" customHeight="1">
      <c r="A102" s="284"/>
      <c r="B102" s="285"/>
      <c r="C102" s="285"/>
      <c r="D102" s="286"/>
      <c r="E102" s="509"/>
      <c r="F102" s="510"/>
      <c r="G102" s="510"/>
      <c r="H102" s="510"/>
      <c r="I102" s="510"/>
      <c r="J102" s="511" t="s">
        <v>1534</v>
      </c>
      <c r="K102" s="511"/>
      <c r="L102" s="291">
        <f>ROUNDDOWN(40000*10*0.012,0)</f>
        <v>4800</v>
      </c>
      <c r="M102" s="315">
        <f>+L102</f>
        <v>4800</v>
      </c>
      <c r="N102" s="316">
        <v>12000</v>
      </c>
      <c r="O102" s="316">
        <f t="shared" si="2"/>
        <v>-7200</v>
      </c>
      <c r="P102" s="290"/>
      <c r="Q102" s="316" t="s">
        <v>1479</v>
      </c>
    </row>
    <row r="103" spans="1:17" s="82" customFormat="1" ht="24.95" customHeight="1">
      <c r="A103" s="284"/>
      <c r="B103" s="285"/>
      <c r="C103" s="285"/>
      <c r="D103" s="286"/>
      <c r="E103" s="509" t="s">
        <v>1511</v>
      </c>
      <c r="F103" s="510"/>
      <c r="G103" s="510"/>
      <c r="H103" s="510"/>
      <c r="I103" s="510"/>
      <c r="J103" s="511"/>
      <c r="K103" s="511"/>
      <c r="L103" s="291"/>
      <c r="M103" s="315"/>
      <c r="N103" s="316"/>
      <c r="O103" s="316"/>
      <c r="P103" s="290"/>
      <c r="Q103" s="320"/>
    </row>
    <row r="104" spans="1:17" s="82" customFormat="1" ht="24.95" customHeight="1">
      <c r="A104" s="284"/>
      <c r="B104" s="285"/>
      <c r="C104" s="285"/>
      <c r="D104" s="286"/>
      <c r="E104" s="292"/>
      <c r="F104" s="293"/>
      <c r="G104" s="293"/>
      <c r="H104" s="293"/>
      <c r="I104" s="511" t="s">
        <v>1535</v>
      </c>
      <c r="J104" s="511"/>
      <c r="K104" s="511"/>
      <c r="L104" s="291">
        <f>ROUNDDOWN(40000*15*0.8*0.012,0)</f>
        <v>5760</v>
      </c>
      <c r="M104" s="315">
        <f>+L104</f>
        <v>5760</v>
      </c>
      <c r="N104" s="316">
        <v>0</v>
      </c>
      <c r="O104" s="316">
        <f t="shared" si="2"/>
        <v>5760</v>
      </c>
      <c r="P104" s="290"/>
      <c r="Q104" s="320"/>
    </row>
    <row r="105" spans="1:17" s="82" customFormat="1" ht="24.95" customHeight="1">
      <c r="A105" s="284"/>
      <c r="B105" s="285"/>
      <c r="C105" s="285"/>
      <c r="D105" s="286"/>
      <c r="E105" s="509" t="s">
        <v>1536</v>
      </c>
      <c r="F105" s="510"/>
      <c r="G105" s="510"/>
      <c r="H105" s="510"/>
      <c r="I105" s="510"/>
      <c r="J105" s="511"/>
      <c r="K105" s="511"/>
      <c r="L105" s="291"/>
      <c r="M105" s="315"/>
      <c r="N105" s="316"/>
      <c r="O105" s="316"/>
      <c r="P105" s="290"/>
      <c r="Q105" s="316"/>
    </row>
    <row r="106" spans="1:17" s="82" customFormat="1" ht="24.95" customHeight="1">
      <c r="A106" s="284"/>
      <c r="B106" s="285"/>
      <c r="C106" s="285"/>
      <c r="D106" s="286"/>
      <c r="E106" s="509"/>
      <c r="F106" s="510"/>
      <c r="G106" s="510"/>
      <c r="H106" s="510"/>
      <c r="I106" s="510"/>
      <c r="J106" s="511" t="s">
        <v>693</v>
      </c>
      <c r="K106" s="511"/>
      <c r="L106" s="291">
        <f>ROUNDDOWN(30000*10*0.012,0)</f>
        <v>3600</v>
      </c>
      <c r="M106" s="315">
        <f>+L106</f>
        <v>3600</v>
      </c>
      <c r="N106" s="316">
        <v>9000</v>
      </c>
      <c r="O106" s="316">
        <f t="shared" si="2"/>
        <v>-5400</v>
      </c>
      <c r="P106" s="290"/>
      <c r="Q106" s="316" t="s">
        <v>1479</v>
      </c>
    </row>
    <row r="107" spans="1:17" s="82" customFormat="1" ht="24.95" customHeight="1">
      <c r="A107" s="284"/>
      <c r="B107" s="285"/>
      <c r="C107" s="285"/>
      <c r="D107" s="286"/>
      <c r="E107" s="509" t="s">
        <v>1517</v>
      </c>
      <c r="F107" s="510"/>
      <c r="G107" s="510"/>
      <c r="H107" s="510"/>
      <c r="I107" s="510"/>
      <c r="J107" s="511"/>
      <c r="K107" s="511"/>
      <c r="L107" s="291"/>
      <c r="M107" s="315"/>
      <c r="N107" s="316"/>
      <c r="O107" s="316"/>
      <c r="P107" s="290"/>
      <c r="Q107" s="316"/>
    </row>
    <row r="108" spans="1:17" s="82" customFormat="1" ht="24.95" customHeight="1">
      <c r="A108" s="284"/>
      <c r="B108" s="285"/>
      <c r="C108" s="285"/>
      <c r="D108" s="286"/>
      <c r="E108" s="292"/>
      <c r="F108" s="293"/>
      <c r="G108" s="293"/>
      <c r="H108" s="293"/>
      <c r="I108" s="511" t="s">
        <v>1537</v>
      </c>
      <c r="J108" s="511"/>
      <c r="K108" s="511"/>
      <c r="L108" s="291">
        <f>ROUNDDOWN(30000*15*0.8*0.012,0)</f>
        <v>4320</v>
      </c>
      <c r="M108" s="315">
        <f>+L108</f>
        <v>4320</v>
      </c>
      <c r="N108" s="316">
        <v>0</v>
      </c>
      <c r="O108" s="316">
        <f t="shared" si="2"/>
        <v>4320</v>
      </c>
      <c r="P108" s="290"/>
      <c r="Q108" s="316"/>
    </row>
    <row r="109" spans="1:17" s="82" customFormat="1" ht="24.95" customHeight="1">
      <c r="A109" s="284"/>
      <c r="B109" s="285"/>
      <c r="C109" s="285"/>
      <c r="D109" s="286"/>
      <c r="E109" s="292"/>
      <c r="F109" s="293"/>
      <c r="G109" s="510" t="s">
        <v>1538</v>
      </c>
      <c r="H109" s="510"/>
      <c r="I109" s="510"/>
      <c r="J109" s="296"/>
      <c r="K109" s="296"/>
      <c r="L109" s="291"/>
      <c r="M109" s="315"/>
      <c r="N109" s="316"/>
      <c r="O109" s="316"/>
      <c r="P109" s="290"/>
      <c r="Q109" s="316"/>
    </row>
    <row r="110" spans="1:17" s="82" customFormat="1" ht="24.95" customHeight="1">
      <c r="A110" s="284"/>
      <c r="B110" s="285"/>
      <c r="C110" s="285"/>
      <c r="D110" s="286"/>
      <c r="E110" s="509" t="s">
        <v>1505</v>
      </c>
      <c r="F110" s="510"/>
      <c r="G110" s="510"/>
      <c r="H110" s="510"/>
      <c r="I110" s="510"/>
      <c r="J110" s="511"/>
      <c r="K110" s="511"/>
      <c r="L110" s="291"/>
      <c r="M110" s="315"/>
      <c r="N110" s="316"/>
      <c r="O110" s="316"/>
      <c r="P110" s="290"/>
      <c r="Q110" s="316"/>
    </row>
    <row r="111" spans="1:17" s="82" customFormat="1" ht="24.95" customHeight="1">
      <c r="A111" s="284"/>
      <c r="B111" s="285"/>
      <c r="C111" s="285"/>
      <c r="D111" s="286"/>
      <c r="E111" s="509"/>
      <c r="F111" s="510"/>
      <c r="G111" s="510"/>
      <c r="H111" s="510"/>
      <c r="I111" s="510"/>
      <c r="J111" s="511" t="s">
        <v>1539</v>
      </c>
      <c r="K111" s="511"/>
      <c r="L111" s="291">
        <f>ROUNDDOWN(65000*10*0.012,0)</f>
        <v>7800</v>
      </c>
      <c r="M111" s="315">
        <f>+L111</f>
        <v>7800</v>
      </c>
      <c r="N111" s="316">
        <v>19500</v>
      </c>
      <c r="O111" s="316">
        <f t="shared" si="2"/>
        <v>-11700</v>
      </c>
      <c r="P111" s="290"/>
      <c r="Q111" s="316" t="s">
        <v>1479</v>
      </c>
    </row>
    <row r="112" spans="1:17" s="82" customFormat="1" ht="24.95" customHeight="1">
      <c r="A112" s="284"/>
      <c r="B112" s="285"/>
      <c r="C112" s="285"/>
      <c r="D112" s="286"/>
      <c r="E112" s="509" t="s">
        <v>1887</v>
      </c>
      <c r="F112" s="510"/>
      <c r="G112" s="510"/>
      <c r="H112" s="510"/>
      <c r="I112" s="510"/>
      <c r="J112" s="511"/>
      <c r="K112" s="511"/>
      <c r="L112" s="291"/>
      <c r="M112" s="315"/>
      <c r="N112" s="316"/>
      <c r="O112" s="316"/>
      <c r="P112" s="290"/>
      <c r="Q112" s="316"/>
    </row>
    <row r="113" spans="1:17" s="82" customFormat="1" ht="24.95" customHeight="1">
      <c r="A113" s="284"/>
      <c r="B113" s="285"/>
      <c r="C113" s="285"/>
      <c r="D113" s="286"/>
      <c r="E113" s="292"/>
      <c r="F113" s="293"/>
      <c r="G113" s="293"/>
      <c r="H113" s="293"/>
      <c r="I113" s="511" t="s">
        <v>1540</v>
      </c>
      <c r="J113" s="511"/>
      <c r="K113" s="511"/>
      <c r="L113" s="291">
        <f>ROUNDDOWN(65000*15*0.8*0.012,0)</f>
        <v>9360</v>
      </c>
      <c r="M113" s="315">
        <f>+L113</f>
        <v>9360</v>
      </c>
      <c r="N113" s="316">
        <v>0</v>
      </c>
      <c r="O113" s="316">
        <f t="shared" si="2"/>
        <v>9360</v>
      </c>
      <c r="P113" s="290"/>
      <c r="Q113" s="316"/>
    </row>
    <row r="114" spans="1:17" s="82" customFormat="1" ht="24.95" customHeight="1">
      <c r="A114" s="284"/>
      <c r="B114" s="285"/>
      <c r="C114" s="285"/>
      <c r="D114" s="286"/>
      <c r="E114" s="509" t="s">
        <v>1541</v>
      </c>
      <c r="F114" s="510"/>
      <c r="G114" s="510"/>
      <c r="H114" s="510"/>
      <c r="I114" s="510"/>
      <c r="J114" s="511"/>
      <c r="K114" s="511"/>
      <c r="L114" s="291"/>
      <c r="M114" s="315"/>
      <c r="N114" s="316"/>
      <c r="O114" s="316"/>
      <c r="P114" s="290"/>
      <c r="Q114" s="316"/>
    </row>
    <row r="115" spans="1:17" s="82" customFormat="1" ht="24.95" customHeight="1">
      <c r="A115" s="284"/>
      <c r="B115" s="285"/>
      <c r="C115" s="285"/>
      <c r="D115" s="286"/>
      <c r="E115" s="509"/>
      <c r="F115" s="510"/>
      <c r="G115" s="510"/>
      <c r="H115" s="510"/>
      <c r="I115" s="510"/>
      <c r="J115" s="511" t="s">
        <v>1542</v>
      </c>
      <c r="K115" s="511"/>
      <c r="L115" s="291">
        <f>ROUNDDOWN(75000*4*0.012,0)</f>
        <v>3600</v>
      </c>
      <c r="M115" s="315">
        <f>+L115</f>
        <v>3600</v>
      </c>
      <c r="N115" s="316">
        <v>9000</v>
      </c>
      <c r="O115" s="316">
        <f t="shared" si="2"/>
        <v>-5400</v>
      </c>
      <c r="P115" s="290"/>
      <c r="Q115" s="316" t="s">
        <v>1479</v>
      </c>
    </row>
    <row r="116" spans="1:17" s="82" customFormat="1" ht="24.95" customHeight="1">
      <c r="A116" s="284"/>
      <c r="B116" s="285"/>
      <c r="C116" s="285"/>
      <c r="D116" s="286"/>
      <c r="E116" s="292" t="s">
        <v>1543</v>
      </c>
      <c r="F116" s="293"/>
      <c r="G116" s="293"/>
      <c r="H116" s="293"/>
      <c r="I116" s="293"/>
      <c r="J116" s="293"/>
      <c r="K116" s="295"/>
      <c r="L116" s="291"/>
      <c r="M116" s="315"/>
      <c r="N116" s="316"/>
      <c r="O116" s="316"/>
      <c r="P116" s="290"/>
      <c r="Q116" s="316"/>
    </row>
    <row r="117" spans="1:17" s="82" customFormat="1" ht="24.95" customHeight="1">
      <c r="A117" s="284"/>
      <c r="B117" s="285"/>
      <c r="C117" s="285"/>
      <c r="D117" s="286"/>
      <c r="E117" s="292"/>
      <c r="F117" s="293"/>
      <c r="G117" s="293"/>
      <c r="H117" s="293"/>
      <c r="I117" s="511" t="s">
        <v>1544</v>
      </c>
      <c r="J117" s="511"/>
      <c r="K117" s="511"/>
      <c r="L117" s="291">
        <f>ROUNDDOWN(75000*6*0.8*0.012,0)</f>
        <v>4320</v>
      </c>
      <c r="M117" s="315">
        <f>+L117</f>
        <v>4320</v>
      </c>
      <c r="N117" s="316">
        <v>0</v>
      </c>
      <c r="O117" s="316">
        <f t="shared" si="2"/>
        <v>4320</v>
      </c>
      <c r="P117" s="290"/>
      <c r="Q117" s="316"/>
    </row>
    <row r="118" spans="1:17" s="82" customFormat="1" ht="24.95" customHeight="1">
      <c r="A118" s="284"/>
      <c r="B118" s="285"/>
      <c r="C118" s="285"/>
      <c r="D118" s="286"/>
      <c r="E118" s="509" t="s">
        <v>1508</v>
      </c>
      <c r="F118" s="510"/>
      <c r="G118" s="510"/>
      <c r="H118" s="510"/>
      <c r="I118" s="510"/>
      <c r="J118" s="511"/>
      <c r="K118" s="511"/>
      <c r="L118" s="291"/>
      <c r="M118" s="315"/>
      <c r="N118" s="316"/>
      <c r="O118" s="316"/>
      <c r="P118" s="290"/>
      <c r="Q118" s="316"/>
    </row>
    <row r="119" spans="1:17" s="82" customFormat="1" ht="24.95" customHeight="1">
      <c r="A119" s="284"/>
      <c r="B119" s="285"/>
      <c r="C119" s="285"/>
      <c r="D119" s="286"/>
      <c r="E119" s="516" t="s">
        <v>1545</v>
      </c>
      <c r="F119" s="511"/>
      <c r="G119" s="511"/>
      <c r="H119" s="511"/>
      <c r="I119" s="511"/>
      <c r="J119" s="511"/>
      <c r="K119" s="511"/>
      <c r="L119" s="291">
        <f>ROUNDDOWN(31000*50*0.012,0)</f>
        <v>18600</v>
      </c>
      <c r="M119" s="315">
        <f>+L119</f>
        <v>18600</v>
      </c>
      <c r="N119" s="316">
        <v>48360</v>
      </c>
      <c r="O119" s="316">
        <f t="shared" si="2"/>
        <v>-29760</v>
      </c>
      <c r="P119" s="290"/>
      <c r="Q119" s="316" t="s">
        <v>1479</v>
      </c>
    </row>
    <row r="120" spans="1:17" s="82" customFormat="1" ht="24.95" customHeight="1">
      <c r="A120" s="284"/>
      <c r="B120" s="285"/>
      <c r="C120" s="285"/>
      <c r="D120" s="286"/>
      <c r="E120" s="509" t="s">
        <v>1511</v>
      </c>
      <c r="F120" s="510"/>
      <c r="G120" s="510"/>
      <c r="H120" s="510"/>
      <c r="I120" s="510"/>
      <c r="J120" s="296"/>
      <c r="K120" s="296"/>
      <c r="L120" s="291"/>
      <c r="M120" s="315"/>
      <c r="N120" s="316"/>
      <c r="O120" s="316"/>
      <c r="P120" s="290"/>
      <c r="Q120" s="316"/>
    </row>
    <row r="121" spans="1:17" s="82" customFormat="1" ht="24.95" customHeight="1">
      <c r="A121" s="284"/>
      <c r="B121" s="285"/>
      <c r="C121" s="285"/>
      <c r="D121" s="286"/>
      <c r="E121" s="516" t="s">
        <v>1546</v>
      </c>
      <c r="F121" s="511"/>
      <c r="G121" s="511"/>
      <c r="H121" s="511"/>
      <c r="I121" s="511"/>
      <c r="J121" s="511"/>
      <c r="K121" s="518"/>
      <c r="L121" s="291">
        <f>ROUNDDOWN(31000*80*0.8*0.012,0)</f>
        <v>23808</v>
      </c>
      <c r="M121" s="315">
        <f>+L121</f>
        <v>23808</v>
      </c>
      <c r="N121" s="316">
        <v>0</v>
      </c>
      <c r="O121" s="316">
        <f t="shared" si="2"/>
        <v>23808</v>
      </c>
      <c r="P121" s="290"/>
      <c r="Q121" s="316"/>
    </row>
    <row r="122" spans="1:17" s="82" customFormat="1" ht="24.95" customHeight="1">
      <c r="A122" s="284"/>
      <c r="B122" s="285"/>
      <c r="C122" s="285"/>
      <c r="D122" s="286"/>
      <c r="E122" s="509" t="s">
        <v>1513</v>
      </c>
      <c r="F122" s="510"/>
      <c r="G122" s="510"/>
      <c r="H122" s="510"/>
      <c r="I122" s="510"/>
      <c r="J122" s="511"/>
      <c r="K122" s="511"/>
      <c r="L122" s="291"/>
      <c r="M122" s="315"/>
      <c r="N122" s="316"/>
      <c r="O122" s="316"/>
      <c r="P122" s="290"/>
      <c r="Q122" s="316"/>
    </row>
    <row r="123" spans="1:17" s="82" customFormat="1" ht="24.95" customHeight="1">
      <c r="A123" s="284"/>
      <c r="B123" s="285"/>
      <c r="C123" s="285"/>
      <c r="D123" s="286"/>
      <c r="E123" s="516" t="s">
        <v>916</v>
      </c>
      <c r="F123" s="511"/>
      <c r="G123" s="511"/>
      <c r="H123" s="511"/>
      <c r="I123" s="511"/>
      <c r="J123" s="511"/>
      <c r="K123" s="511"/>
      <c r="L123" s="291">
        <f>ROUNDDOWN(31000*60*12*90%/1000,0)</f>
        <v>20088</v>
      </c>
      <c r="M123" s="315">
        <f>+L123</f>
        <v>20088</v>
      </c>
      <c r="N123" s="316">
        <v>20088</v>
      </c>
      <c r="O123" s="316">
        <f t="shared" si="2"/>
        <v>0</v>
      </c>
      <c r="P123" s="290"/>
      <c r="Q123" s="316"/>
    </row>
    <row r="124" spans="1:17" s="236" customFormat="1" ht="24.95" hidden="1" customHeight="1">
      <c r="A124" s="301"/>
      <c r="B124" s="302"/>
      <c r="C124" s="302"/>
      <c r="D124" s="303"/>
      <c r="E124" s="509" t="s">
        <v>1547</v>
      </c>
      <c r="F124" s="510"/>
      <c r="G124" s="510"/>
      <c r="H124" s="510"/>
      <c r="I124" s="510"/>
      <c r="J124" s="521"/>
      <c r="K124" s="521"/>
      <c r="L124" s="291"/>
      <c r="M124" s="315"/>
      <c r="N124" s="316"/>
      <c r="O124" s="316"/>
      <c r="P124" s="290"/>
      <c r="Q124" s="316"/>
    </row>
    <row r="125" spans="1:17" s="236" customFormat="1" ht="24.95" hidden="1" customHeight="1">
      <c r="A125" s="301"/>
      <c r="B125" s="302"/>
      <c r="C125" s="302"/>
      <c r="D125" s="303"/>
      <c r="E125" s="509"/>
      <c r="F125" s="510"/>
      <c r="G125" s="510"/>
      <c r="H125" s="510"/>
      <c r="I125" s="510"/>
      <c r="J125" s="511" t="s">
        <v>693</v>
      </c>
      <c r="K125" s="511"/>
      <c r="L125" s="291">
        <v>0</v>
      </c>
      <c r="M125" s="315">
        <f>+L125</f>
        <v>0</v>
      </c>
      <c r="N125" s="316">
        <v>3600</v>
      </c>
      <c r="O125" s="316">
        <f t="shared" si="2"/>
        <v>-3600</v>
      </c>
      <c r="P125" s="290"/>
      <c r="Q125" s="316" t="s">
        <v>1548</v>
      </c>
    </row>
    <row r="126" spans="1:17" s="236" customFormat="1" ht="24.95" hidden="1" customHeight="1">
      <c r="A126" s="301"/>
      <c r="B126" s="302"/>
      <c r="C126" s="302"/>
      <c r="D126" s="303"/>
      <c r="E126" s="292" t="s">
        <v>1549</v>
      </c>
      <c r="F126" s="293"/>
      <c r="G126" s="293"/>
      <c r="H126" s="293"/>
      <c r="I126" s="293"/>
      <c r="J126" s="293"/>
      <c r="K126" s="295"/>
      <c r="L126" s="291"/>
      <c r="M126" s="315"/>
      <c r="N126" s="316"/>
      <c r="O126" s="316"/>
      <c r="P126" s="290"/>
      <c r="Q126" s="316"/>
    </row>
    <row r="127" spans="1:17" s="236" customFormat="1" ht="24.95" hidden="1" customHeight="1">
      <c r="A127" s="301"/>
      <c r="B127" s="302"/>
      <c r="C127" s="302"/>
      <c r="D127" s="303"/>
      <c r="E127" s="516" t="s">
        <v>917</v>
      </c>
      <c r="F127" s="511"/>
      <c r="G127" s="511"/>
      <c r="H127" s="511"/>
      <c r="I127" s="511"/>
      <c r="J127" s="511"/>
      <c r="K127" s="511"/>
      <c r="L127" s="291">
        <v>0</v>
      </c>
      <c r="M127" s="315">
        <f>+L127</f>
        <v>0</v>
      </c>
      <c r="N127" s="316">
        <v>648</v>
      </c>
      <c r="O127" s="316">
        <f t="shared" si="2"/>
        <v>-648</v>
      </c>
      <c r="P127" s="290"/>
      <c r="Q127" s="316" t="s">
        <v>1548</v>
      </c>
    </row>
    <row r="128" spans="1:17" s="82" customFormat="1" ht="24.95" customHeight="1">
      <c r="A128" s="284"/>
      <c r="B128" s="285"/>
      <c r="C128" s="285"/>
      <c r="D128" s="286"/>
      <c r="E128" s="509" t="s">
        <v>1515</v>
      </c>
      <c r="F128" s="510"/>
      <c r="G128" s="510"/>
      <c r="H128" s="510"/>
      <c r="I128" s="510"/>
      <c r="J128" s="511"/>
      <c r="K128" s="511"/>
      <c r="L128" s="291"/>
      <c r="M128" s="315"/>
      <c r="N128" s="316"/>
      <c r="O128" s="316"/>
      <c r="P128" s="290"/>
      <c r="Q128" s="316"/>
    </row>
    <row r="129" spans="1:17" s="82" customFormat="1" ht="24.95" customHeight="1">
      <c r="A129" s="284"/>
      <c r="B129" s="285"/>
      <c r="C129" s="285"/>
      <c r="D129" s="286"/>
      <c r="E129" s="516" t="s">
        <v>1550</v>
      </c>
      <c r="F129" s="511"/>
      <c r="G129" s="511"/>
      <c r="H129" s="511"/>
      <c r="I129" s="511"/>
      <c r="J129" s="511"/>
      <c r="K129" s="511"/>
      <c r="L129" s="291">
        <f>ROUNDDOWN(21000*60*0.012,0)</f>
        <v>15120</v>
      </c>
      <c r="M129" s="315">
        <f>+L129</f>
        <v>15120</v>
      </c>
      <c r="N129" s="316">
        <v>34776</v>
      </c>
      <c r="O129" s="316">
        <f t="shared" si="2"/>
        <v>-19656</v>
      </c>
      <c r="P129" s="290"/>
      <c r="Q129" s="316" t="s">
        <v>1479</v>
      </c>
    </row>
    <row r="130" spans="1:17" s="82" customFormat="1" ht="24.95" customHeight="1">
      <c r="A130" s="284"/>
      <c r="B130" s="285"/>
      <c r="C130" s="285"/>
      <c r="D130" s="286"/>
      <c r="E130" s="509" t="s">
        <v>1517</v>
      </c>
      <c r="F130" s="510"/>
      <c r="G130" s="510"/>
      <c r="H130" s="510"/>
      <c r="I130" s="510"/>
      <c r="J130" s="296"/>
      <c r="K130" s="296"/>
      <c r="L130" s="291"/>
      <c r="M130" s="315"/>
      <c r="N130" s="316"/>
      <c r="O130" s="316"/>
      <c r="P130" s="290"/>
      <c r="Q130" s="316"/>
    </row>
    <row r="131" spans="1:17" s="82" customFormat="1" ht="24.95" customHeight="1">
      <c r="A131" s="284"/>
      <c r="B131" s="285"/>
      <c r="C131" s="285"/>
      <c r="D131" s="286"/>
      <c r="E131" s="300"/>
      <c r="F131" s="296"/>
      <c r="G131" s="296"/>
      <c r="H131" s="296"/>
      <c r="I131" s="511" t="s">
        <v>1551</v>
      </c>
      <c r="J131" s="511"/>
      <c r="K131" s="511"/>
      <c r="L131" s="291">
        <f>ROUNDDOWN(21000*90*0.8*0.012,0)</f>
        <v>18144</v>
      </c>
      <c r="M131" s="315">
        <f>+L131</f>
        <v>18144</v>
      </c>
      <c r="N131" s="316">
        <v>0</v>
      </c>
      <c r="O131" s="316">
        <f t="shared" si="2"/>
        <v>18144</v>
      </c>
      <c r="P131" s="290"/>
      <c r="Q131" s="316"/>
    </row>
    <row r="132" spans="1:17" s="82" customFormat="1" ht="24.95" customHeight="1">
      <c r="A132" s="284"/>
      <c r="B132" s="285"/>
      <c r="C132" s="285"/>
      <c r="D132" s="286"/>
      <c r="E132" s="509" t="s">
        <v>1519</v>
      </c>
      <c r="F132" s="510"/>
      <c r="G132" s="510"/>
      <c r="H132" s="510"/>
      <c r="I132" s="510"/>
      <c r="J132" s="511"/>
      <c r="K132" s="511"/>
      <c r="L132" s="291"/>
      <c r="M132" s="315"/>
      <c r="N132" s="316"/>
      <c r="O132" s="316"/>
      <c r="P132" s="290"/>
      <c r="Q132" s="316"/>
    </row>
    <row r="133" spans="1:17" s="82" customFormat="1" ht="24.95" customHeight="1">
      <c r="A133" s="284"/>
      <c r="B133" s="285"/>
      <c r="C133" s="285"/>
      <c r="D133" s="286"/>
      <c r="E133" s="516" t="s">
        <v>1552</v>
      </c>
      <c r="F133" s="511"/>
      <c r="G133" s="511"/>
      <c r="H133" s="511"/>
      <c r="I133" s="511"/>
      <c r="J133" s="511"/>
      <c r="K133" s="511"/>
      <c r="L133" s="291">
        <f>ROUNDDOWN(21000*40*12*90%/1000,0)</f>
        <v>9072</v>
      </c>
      <c r="M133" s="315">
        <f>+L133</f>
        <v>9072</v>
      </c>
      <c r="N133" s="316">
        <v>8618</v>
      </c>
      <c r="O133" s="316">
        <f t="shared" si="2"/>
        <v>454</v>
      </c>
      <c r="P133" s="290"/>
      <c r="Q133" s="316" t="s">
        <v>1553</v>
      </c>
    </row>
    <row r="134" spans="1:17" s="236" customFormat="1" ht="24.95" hidden="1" customHeight="1">
      <c r="A134" s="301"/>
      <c r="B134" s="302"/>
      <c r="C134" s="302"/>
      <c r="D134" s="303"/>
      <c r="E134" s="509" t="s">
        <v>1554</v>
      </c>
      <c r="F134" s="510"/>
      <c r="G134" s="510"/>
      <c r="H134" s="510"/>
      <c r="I134" s="510"/>
      <c r="J134" s="511"/>
      <c r="K134" s="511"/>
      <c r="L134" s="291"/>
      <c r="M134" s="315"/>
      <c r="N134" s="316"/>
      <c r="O134" s="316"/>
      <c r="P134" s="290"/>
      <c r="Q134" s="316"/>
    </row>
    <row r="135" spans="1:17" s="236" customFormat="1" ht="24.95" hidden="1" customHeight="1">
      <c r="A135" s="301"/>
      <c r="B135" s="302"/>
      <c r="C135" s="302"/>
      <c r="D135" s="303"/>
      <c r="E135" s="509"/>
      <c r="F135" s="510"/>
      <c r="G135" s="510"/>
      <c r="H135" s="510"/>
      <c r="I135" s="510"/>
      <c r="J135" s="511" t="s">
        <v>918</v>
      </c>
      <c r="K135" s="511"/>
      <c r="L135" s="291">
        <v>0</v>
      </c>
      <c r="M135" s="315">
        <f>+L135</f>
        <v>0</v>
      </c>
      <c r="N135" s="316">
        <v>13200</v>
      </c>
      <c r="O135" s="316">
        <f t="shared" si="2"/>
        <v>-13200</v>
      </c>
      <c r="P135" s="290"/>
      <c r="Q135" s="316" t="s">
        <v>1548</v>
      </c>
    </row>
    <row r="136" spans="1:17" s="236" customFormat="1" ht="24.95" hidden="1" customHeight="1">
      <c r="A136" s="301"/>
      <c r="B136" s="302"/>
      <c r="C136" s="302"/>
      <c r="D136" s="303"/>
      <c r="E136" s="509" t="s">
        <v>1555</v>
      </c>
      <c r="F136" s="510"/>
      <c r="G136" s="510"/>
      <c r="H136" s="510"/>
      <c r="I136" s="510"/>
      <c r="J136" s="521"/>
      <c r="K136" s="521"/>
      <c r="L136" s="291"/>
      <c r="M136" s="315"/>
      <c r="N136" s="316"/>
      <c r="O136" s="316"/>
      <c r="P136" s="290"/>
      <c r="Q136" s="316"/>
    </row>
    <row r="137" spans="1:17" s="236" customFormat="1" ht="24.95" hidden="1" customHeight="1">
      <c r="A137" s="301"/>
      <c r="B137" s="302"/>
      <c r="C137" s="302"/>
      <c r="D137" s="303"/>
      <c r="E137" s="516" t="s">
        <v>913</v>
      </c>
      <c r="F137" s="511"/>
      <c r="G137" s="511"/>
      <c r="H137" s="511"/>
      <c r="I137" s="511"/>
      <c r="J137" s="511"/>
      <c r="K137" s="511"/>
      <c r="L137" s="291">
        <v>0</v>
      </c>
      <c r="M137" s="315">
        <f>+L137</f>
        <v>0</v>
      </c>
      <c r="N137" s="316">
        <v>2376</v>
      </c>
      <c r="O137" s="316">
        <f t="shared" si="2"/>
        <v>-2376</v>
      </c>
      <c r="P137" s="290"/>
      <c r="Q137" s="316" t="s">
        <v>1548</v>
      </c>
    </row>
    <row r="138" spans="1:17" s="236" customFormat="1" ht="24.95" hidden="1" customHeight="1">
      <c r="A138" s="301"/>
      <c r="B138" s="302"/>
      <c r="C138" s="302"/>
      <c r="D138" s="303"/>
      <c r="E138" s="509" t="s">
        <v>1556</v>
      </c>
      <c r="F138" s="510"/>
      <c r="G138" s="510"/>
      <c r="H138" s="510"/>
      <c r="I138" s="510"/>
      <c r="J138" s="511"/>
      <c r="K138" s="511"/>
      <c r="L138" s="291"/>
      <c r="M138" s="315"/>
      <c r="N138" s="316"/>
      <c r="O138" s="316"/>
      <c r="P138" s="290"/>
      <c r="Q138" s="316"/>
    </row>
    <row r="139" spans="1:17" s="236" customFormat="1" ht="24.95" hidden="1" customHeight="1">
      <c r="A139" s="301"/>
      <c r="B139" s="302"/>
      <c r="C139" s="302"/>
      <c r="D139" s="303"/>
      <c r="E139" s="509"/>
      <c r="F139" s="510"/>
      <c r="G139" s="510"/>
      <c r="H139" s="510"/>
      <c r="I139" s="510"/>
      <c r="J139" s="511" t="s">
        <v>919</v>
      </c>
      <c r="K139" s="511"/>
      <c r="L139" s="291">
        <v>0</v>
      </c>
      <c r="M139" s="315">
        <f>+L139</f>
        <v>0</v>
      </c>
      <c r="N139" s="316">
        <v>8160</v>
      </c>
      <c r="O139" s="316">
        <f t="shared" si="2"/>
        <v>-8160</v>
      </c>
      <c r="P139" s="290"/>
      <c r="Q139" s="316" t="s">
        <v>1548</v>
      </c>
    </row>
    <row r="140" spans="1:17" s="236" customFormat="1" ht="24.95" hidden="1" customHeight="1">
      <c r="A140" s="301"/>
      <c r="B140" s="302"/>
      <c r="C140" s="302"/>
      <c r="D140" s="303"/>
      <c r="E140" s="509" t="s">
        <v>1557</v>
      </c>
      <c r="F140" s="510"/>
      <c r="G140" s="510"/>
      <c r="H140" s="510"/>
      <c r="I140" s="510"/>
      <c r="J140" s="521"/>
      <c r="K140" s="521"/>
      <c r="L140" s="291"/>
      <c r="M140" s="315"/>
      <c r="N140" s="316"/>
      <c r="O140" s="316"/>
      <c r="P140" s="290"/>
      <c r="Q140" s="316"/>
    </row>
    <row r="141" spans="1:17" s="236" customFormat="1" ht="24.95" hidden="1" customHeight="1">
      <c r="A141" s="301"/>
      <c r="B141" s="302"/>
      <c r="C141" s="302"/>
      <c r="D141" s="303"/>
      <c r="E141" s="516" t="s">
        <v>920</v>
      </c>
      <c r="F141" s="511"/>
      <c r="G141" s="511"/>
      <c r="H141" s="511"/>
      <c r="I141" s="511"/>
      <c r="J141" s="511"/>
      <c r="K141" s="511"/>
      <c r="L141" s="291">
        <v>0</v>
      </c>
      <c r="M141" s="315">
        <f>+L141</f>
        <v>0</v>
      </c>
      <c r="N141" s="316">
        <v>918</v>
      </c>
      <c r="O141" s="316">
        <f t="shared" si="2"/>
        <v>-918</v>
      </c>
      <c r="P141" s="290"/>
      <c r="Q141" s="316" t="s">
        <v>1548</v>
      </c>
    </row>
    <row r="142" spans="1:17" s="82" customFormat="1" ht="24.95" customHeight="1">
      <c r="A142" s="284"/>
      <c r="B142" s="285"/>
      <c r="C142" s="285"/>
      <c r="D142" s="286"/>
      <c r="E142" s="509" t="s">
        <v>1558</v>
      </c>
      <c r="F142" s="510"/>
      <c r="G142" s="510"/>
      <c r="H142" s="510"/>
      <c r="I142" s="510"/>
      <c r="J142" s="296"/>
      <c r="K142" s="296"/>
      <c r="L142" s="291"/>
      <c r="M142" s="315"/>
      <c r="N142" s="316"/>
      <c r="O142" s="316"/>
      <c r="P142" s="290"/>
      <c r="Q142" s="316"/>
    </row>
    <row r="143" spans="1:17" s="82" customFormat="1" ht="24.95" customHeight="1">
      <c r="A143" s="284"/>
      <c r="B143" s="285"/>
      <c r="C143" s="285"/>
      <c r="D143" s="286"/>
      <c r="E143" s="300"/>
      <c r="F143" s="296"/>
      <c r="G143" s="296"/>
      <c r="H143" s="296"/>
      <c r="I143" s="296"/>
      <c r="J143" s="511" t="s">
        <v>1559</v>
      </c>
      <c r="K143" s="511"/>
      <c r="L143" s="291">
        <f>ROUNDDOWN(11000*80*0.012,0)</f>
        <v>10560</v>
      </c>
      <c r="M143" s="315">
        <f>+L143</f>
        <v>10560</v>
      </c>
      <c r="N143" s="316">
        <v>0</v>
      </c>
      <c r="O143" s="316">
        <f t="shared" si="2"/>
        <v>10560</v>
      </c>
      <c r="P143" s="290"/>
      <c r="Q143" s="316" t="s">
        <v>1560</v>
      </c>
    </row>
    <row r="144" spans="1:17" s="82" customFormat="1" ht="24.95" customHeight="1">
      <c r="A144" s="284"/>
      <c r="B144" s="285"/>
      <c r="C144" s="285"/>
      <c r="D144" s="286"/>
      <c r="E144" s="509" t="s">
        <v>1561</v>
      </c>
      <c r="F144" s="510"/>
      <c r="G144" s="510"/>
      <c r="H144" s="510"/>
      <c r="I144" s="510"/>
      <c r="J144" s="511"/>
      <c r="K144" s="511"/>
      <c r="L144" s="291"/>
      <c r="M144" s="315"/>
      <c r="N144" s="316"/>
      <c r="O144" s="316"/>
      <c r="P144" s="290"/>
      <c r="Q144" s="316"/>
    </row>
    <row r="145" spans="1:17" s="82" customFormat="1" ht="24.95" customHeight="1">
      <c r="A145" s="284"/>
      <c r="B145" s="285"/>
      <c r="C145" s="285"/>
      <c r="D145" s="286"/>
      <c r="E145" s="300"/>
      <c r="F145" s="296"/>
      <c r="G145" s="296"/>
      <c r="H145" s="296"/>
      <c r="I145" s="511" t="s">
        <v>1562</v>
      </c>
      <c r="J145" s="511"/>
      <c r="K145" s="511"/>
      <c r="L145" s="291">
        <f>ROUNDDOWN(11000*100*0.8*0.012,0)</f>
        <v>10560</v>
      </c>
      <c r="M145" s="315">
        <f>+L145</f>
        <v>10560</v>
      </c>
      <c r="N145" s="316">
        <v>0</v>
      </c>
      <c r="O145" s="316">
        <f t="shared" si="2"/>
        <v>10560</v>
      </c>
      <c r="P145" s="290"/>
      <c r="Q145" s="316"/>
    </row>
    <row r="146" spans="1:17" s="82" customFormat="1" ht="24.95" customHeight="1">
      <c r="A146" s="284"/>
      <c r="B146" s="285"/>
      <c r="C146" s="285"/>
      <c r="D146" s="286"/>
      <c r="E146" s="509" t="s">
        <v>1563</v>
      </c>
      <c r="F146" s="510"/>
      <c r="G146" s="510"/>
      <c r="H146" s="510"/>
      <c r="I146" s="510"/>
      <c r="J146" s="296"/>
      <c r="K146" s="296"/>
      <c r="L146" s="291"/>
      <c r="M146" s="315"/>
      <c r="N146" s="316"/>
      <c r="O146" s="316"/>
      <c r="P146" s="290"/>
      <c r="Q146" s="316"/>
    </row>
    <row r="147" spans="1:17" s="82" customFormat="1" ht="24.95" customHeight="1">
      <c r="A147" s="284"/>
      <c r="B147" s="285"/>
      <c r="C147" s="285"/>
      <c r="D147" s="286"/>
      <c r="E147" s="300"/>
      <c r="F147" s="296"/>
      <c r="G147" s="296"/>
      <c r="H147" s="296"/>
      <c r="I147" s="511" t="s">
        <v>1564</v>
      </c>
      <c r="J147" s="511"/>
      <c r="K147" s="511"/>
      <c r="L147" s="291">
        <f>ROUNDDOWN(11000*20*0.9*0.012,0)</f>
        <v>2376</v>
      </c>
      <c r="M147" s="315">
        <f>+L147</f>
        <v>2376</v>
      </c>
      <c r="N147" s="316">
        <v>0</v>
      </c>
      <c r="O147" s="316">
        <f t="shared" ref="O147:O206" si="5">+M147-N147</f>
        <v>2376</v>
      </c>
      <c r="P147" s="290"/>
      <c r="Q147" s="316" t="s">
        <v>1553</v>
      </c>
    </row>
    <row r="148" spans="1:17" s="82" customFormat="1" ht="24.95" customHeight="1">
      <c r="A148" s="284"/>
      <c r="B148" s="285"/>
      <c r="C148" s="285"/>
      <c r="D148" s="286"/>
      <c r="E148" s="292"/>
      <c r="F148" s="293"/>
      <c r="G148" s="510" t="s">
        <v>1565</v>
      </c>
      <c r="H148" s="510"/>
      <c r="I148" s="510"/>
      <c r="J148" s="296"/>
      <c r="K148" s="296"/>
      <c r="L148" s="291"/>
      <c r="M148" s="315"/>
      <c r="N148" s="316"/>
      <c r="O148" s="316"/>
      <c r="P148" s="290"/>
      <c r="Q148" s="316"/>
    </row>
    <row r="149" spans="1:17" s="82" customFormat="1" ht="24.95" customHeight="1">
      <c r="A149" s="284"/>
      <c r="B149" s="285"/>
      <c r="C149" s="285"/>
      <c r="D149" s="286"/>
      <c r="E149" s="509" t="s">
        <v>1566</v>
      </c>
      <c r="F149" s="510"/>
      <c r="G149" s="510"/>
      <c r="H149" s="510"/>
      <c r="I149" s="510"/>
      <c r="J149" s="511"/>
      <c r="K149" s="511"/>
      <c r="L149" s="291"/>
      <c r="M149" s="315"/>
      <c r="N149" s="316"/>
      <c r="O149" s="316"/>
      <c r="P149" s="290"/>
      <c r="Q149" s="316"/>
    </row>
    <row r="150" spans="1:17" s="82" customFormat="1" ht="24.95" customHeight="1">
      <c r="A150" s="284"/>
      <c r="B150" s="285"/>
      <c r="C150" s="285"/>
      <c r="D150" s="286"/>
      <c r="E150" s="516" t="s">
        <v>1567</v>
      </c>
      <c r="F150" s="511"/>
      <c r="G150" s="511"/>
      <c r="H150" s="511"/>
      <c r="I150" s="511"/>
      <c r="J150" s="511"/>
      <c r="K150" s="511"/>
      <c r="L150" s="291">
        <f>ROUNDDOWN(39000*24*0.5*0.012,0)</f>
        <v>5616</v>
      </c>
      <c r="M150" s="315">
        <f>+L150</f>
        <v>5616</v>
      </c>
      <c r="N150" s="316">
        <v>11232</v>
      </c>
      <c r="O150" s="316">
        <f t="shared" si="5"/>
        <v>-5616</v>
      </c>
      <c r="P150" s="290"/>
      <c r="Q150" s="316" t="s">
        <v>1568</v>
      </c>
    </row>
    <row r="151" spans="1:17" s="82" customFormat="1" ht="24.95" customHeight="1">
      <c r="A151" s="284"/>
      <c r="B151" s="285"/>
      <c r="C151" s="285"/>
      <c r="D151" s="286"/>
      <c r="E151" s="509" t="s">
        <v>1569</v>
      </c>
      <c r="F151" s="510"/>
      <c r="G151" s="510"/>
      <c r="H151" s="510"/>
      <c r="I151" s="510"/>
      <c r="J151" s="511"/>
      <c r="K151" s="511"/>
      <c r="L151" s="291"/>
      <c r="M151" s="315"/>
      <c r="N151" s="316"/>
      <c r="O151" s="316"/>
      <c r="P151" s="290"/>
      <c r="Q151" s="316"/>
    </row>
    <row r="152" spans="1:17" s="82" customFormat="1" ht="24.95" customHeight="1">
      <c r="A152" s="284"/>
      <c r="B152" s="285"/>
      <c r="C152" s="285"/>
      <c r="D152" s="286"/>
      <c r="E152" s="516" t="s">
        <v>1570</v>
      </c>
      <c r="F152" s="511"/>
      <c r="G152" s="511"/>
      <c r="H152" s="511"/>
      <c r="I152" s="511"/>
      <c r="J152" s="511"/>
      <c r="K152" s="511"/>
      <c r="L152" s="291">
        <f>ROUNDDOWN(26000*24*0.5*0.012,0)</f>
        <v>3744</v>
      </c>
      <c r="M152" s="315">
        <f>+L152</f>
        <v>3744</v>
      </c>
      <c r="N152" s="316">
        <v>7488</v>
      </c>
      <c r="O152" s="316">
        <f t="shared" si="5"/>
        <v>-3744</v>
      </c>
      <c r="P152" s="290"/>
      <c r="Q152" s="316" t="s">
        <v>1568</v>
      </c>
    </row>
    <row r="153" spans="1:17" s="82" customFormat="1" ht="24.95" customHeight="1">
      <c r="A153" s="284"/>
      <c r="B153" s="285"/>
      <c r="C153" s="285"/>
      <c r="D153" s="286"/>
      <c r="E153" s="292"/>
      <c r="F153" s="293"/>
      <c r="G153" s="510" t="s">
        <v>1571</v>
      </c>
      <c r="H153" s="510"/>
      <c r="I153" s="510"/>
      <c r="J153" s="296"/>
      <c r="K153" s="296"/>
      <c r="L153" s="291"/>
      <c r="M153" s="315"/>
      <c r="N153" s="316"/>
      <c r="O153" s="316"/>
      <c r="P153" s="290"/>
      <c r="Q153" s="316"/>
    </row>
    <row r="154" spans="1:17" s="82" customFormat="1" ht="24.95" customHeight="1">
      <c r="A154" s="284"/>
      <c r="B154" s="285"/>
      <c r="C154" s="285"/>
      <c r="D154" s="286"/>
      <c r="E154" s="509" t="s">
        <v>1572</v>
      </c>
      <c r="F154" s="510"/>
      <c r="G154" s="510"/>
      <c r="H154" s="510"/>
      <c r="I154" s="510"/>
      <c r="J154" s="511"/>
      <c r="K154" s="511"/>
      <c r="L154" s="291"/>
      <c r="M154" s="315"/>
      <c r="N154" s="316"/>
      <c r="O154" s="316"/>
      <c r="P154" s="290"/>
      <c r="Q154" s="316"/>
    </row>
    <row r="155" spans="1:17" s="82" customFormat="1" ht="24.95" customHeight="1">
      <c r="A155" s="284"/>
      <c r="B155" s="285"/>
      <c r="C155" s="285"/>
      <c r="D155" s="286"/>
      <c r="E155" s="300"/>
      <c r="F155" s="296"/>
      <c r="G155" s="296"/>
      <c r="H155" s="296"/>
      <c r="I155" s="511" t="s">
        <v>922</v>
      </c>
      <c r="J155" s="511"/>
      <c r="K155" s="511"/>
      <c r="L155" s="291">
        <f>ROUNDDOWN(2700*20*12*0.012,0)</f>
        <v>7776</v>
      </c>
      <c r="M155" s="315">
        <f>+L155</f>
        <v>7776</v>
      </c>
      <c r="N155" s="316">
        <v>7776</v>
      </c>
      <c r="O155" s="316">
        <f t="shared" si="5"/>
        <v>0</v>
      </c>
      <c r="P155" s="290"/>
      <c r="Q155" s="316"/>
    </row>
    <row r="156" spans="1:17" s="82" customFormat="1" ht="24.95" customHeight="1">
      <c r="A156" s="284"/>
      <c r="B156" s="285"/>
      <c r="C156" s="285"/>
      <c r="D156" s="286"/>
      <c r="E156" s="509" t="s">
        <v>1573</v>
      </c>
      <c r="F156" s="510"/>
      <c r="G156" s="510"/>
      <c r="H156" s="510"/>
      <c r="I156" s="510"/>
      <c r="J156" s="511"/>
      <c r="K156" s="511"/>
      <c r="L156" s="291"/>
      <c r="M156" s="315"/>
      <c r="N156" s="316"/>
      <c r="O156" s="316"/>
      <c r="P156" s="290"/>
      <c r="Q156" s="316"/>
    </row>
    <row r="157" spans="1:17" s="82" customFormat="1" ht="24.95" customHeight="1">
      <c r="A157" s="284"/>
      <c r="B157" s="285"/>
      <c r="C157" s="285"/>
      <c r="D157" s="286"/>
      <c r="E157" s="516" t="s">
        <v>923</v>
      </c>
      <c r="F157" s="511"/>
      <c r="G157" s="511"/>
      <c r="H157" s="511"/>
      <c r="I157" s="511"/>
      <c r="J157" s="511"/>
      <c r="K157" s="511"/>
      <c r="L157" s="291">
        <f>ROUNDDOWN(2700*20*8*0.012,0)</f>
        <v>5184</v>
      </c>
      <c r="M157" s="315">
        <f>+L157</f>
        <v>5184</v>
      </c>
      <c r="N157" s="316">
        <v>5184</v>
      </c>
      <c r="O157" s="316">
        <f t="shared" si="5"/>
        <v>0</v>
      </c>
      <c r="P157" s="290"/>
      <c r="Q157" s="316"/>
    </row>
    <row r="158" spans="1:17" s="82" customFormat="1" ht="24.95" customHeight="1">
      <c r="A158" s="284"/>
      <c r="B158" s="285"/>
      <c r="C158" s="285"/>
      <c r="D158" s="286"/>
      <c r="E158" s="509" t="s">
        <v>1574</v>
      </c>
      <c r="F158" s="510"/>
      <c r="G158" s="510"/>
      <c r="H158" s="510"/>
      <c r="I158" s="510"/>
      <c r="J158" s="511"/>
      <c r="K158" s="511"/>
      <c r="L158" s="291"/>
      <c r="M158" s="315"/>
      <c r="N158" s="316"/>
      <c r="O158" s="316"/>
      <c r="P158" s="290"/>
      <c r="Q158" s="316"/>
    </row>
    <row r="159" spans="1:17" s="82" customFormat="1" ht="24.95" customHeight="1">
      <c r="A159" s="284"/>
      <c r="B159" s="285"/>
      <c r="C159" s="285"/>
      <c r="D159" s="286"/>
      <c r="E159" s="516" t="s">
        <v>924</v>
      </c>
      <c r="F159" s="511"/>
      <c r="G159" s="511"/>
      <c r="H159" s="511"/>
      <c r="I159" s="511"/>
      <c r="J159" s="511"/>
      <c r="K159" s="511"/>
      <c r="L159" s="291">
        <f>ROUNDDOWN(2700*20*4*0.012,0)</f>
        <v>2592</v>
      </c>
      <c r="M159" s="315">
        <f>+L159</f>
        <v>2592</v>
      </c>
      <c r="N159" s="316">
        <v>2592</v>
      </c>
      <c r="O159" s="316">
        <f t="shared" si="5"/>
        <v>0</v>
      </c>
      <c r="P159" s="290"/>
      <c r="Q159" s="316"/>
    </row>
    <row r="160" spans="1:17" s="82" customFormat="1" ht="24.95" customHeight="1">
      <c r="A160" s="284"/>
      <c r="B160" s="285"/>
      <c r="C160" s="285"/>
      <c r="D160" s="286"/>
      <c r="E160" s="292"/>
      <c r="F160" s="293"/>
      <c r="G160" s="510" t="s">
        <v>1575</v>
      </c>
      <c r="H160" s="510"/>
      <c r="I160" s="510"/>
      <c r="J160" s="296"/>
      <c r="K160" s="296"/>
      <c r="L160" s="291"/>
      <c r="M160" s="315"/>
      <c r="N160" s="316"/>
      <c r="O160" s="316"/>
      <c r="P160" s="290"/>
      <c r="Q160" s="316"/>
    </row>
    <row r="161" spans="1:17" s="82" customFormat="1" ht="24.95" customHeight="1">
      <c r="A161" s="284"/>
      <c r="B161" s="285"/>
      <c r="C161" s="285"/>
      <c r="D161" s="286"/>
      <c r="E161" s="509" t="s">
        <v>1519</v>
      </c>
      <c r="F161" s="510"/>
      <c r="G161" s="510"/>
      <c r="H161" s="510"/>
      <c r="I161" s="510"/>
      <c r="J161" s="511"/>
      <c r="K161" s="511"/>
      <c r="L161" s="291"/>
      <c r="M161" s="315"/>
      <c r="N161" s="316"/>
      <c r="O161" s="316"/>
      <c r="P161" s="290"/>
      <c r="Q161" s="316"/>
    </row>
    <row r="162" spans="1:17" s="82" customFormat="1" ht="24.95" customHeight="1">
      <c r="A162" s="284"/>
      <c r="B162" s="285"/>
      <c r="C162" s="285"/>
      <c r="D162" s="286"/>
      <c r="E162" s="516" t="s">
        <v>925</v>
      </c>
      <c r="F162" s="511"/>
      <c r="G162" s="511"/>
      <c r="H162" s="511"/>
      <c r="I162" s="511"/>
      <c r="J162" s="511"/>
      <c r="K162" s="511"/>
      <c r="L162" s="291">
        <f>ROUNDDOWN(41000*17*12*90%/1000,0)</f>
        <v>7527</v>
      </c>
      <c r="M162" s="315">
        <f>+L162</f>
        <v>7527</v>
      </c>
      <c r="N162" s="316">
        <v>7527</v>
      </c>
      <c r="O162" s="316">
        <f t="shared" si="5"/>
        <v>0</v>
      </c>
      <c r="P162" s="290"/>
      <c r="Q162" s="316"/>
    </row>
    <row r="163" spans="1:17" s="82" customFormat="1" ht="24.95" customHeight="1">
      <c r="A163" s="284"/>
      <c r="B163" s="285"/>
      <c r="C163" s="285"/>
      <c r="D163" s="286"/>
      <c r="E163" s="292"/>
      <c r="F163" s="293"/>
      <c r="G163" s="510" t="s">
        <v>1576</v>
      </c>
      <c r="H163" s="510"/>
      <c r="I163" s="510"/>
      <c r="J163" s="296"/>
      <c r="K163" s="296"/>
      <c r="L163" s="291"/>
      <c r="M163" s="315"/>
      <c r="N163" s="316"/>
      <c r="O163" s="316"/>
      <c r="P163" s="290"/>
      <c r="Q163" s="316"/>
    </row>
    <row r="164" spans="1:17" s="82" customFormat="1" ht="24.95" customHeight="1">
      <c r="A164" s="284"/>
      <c r="B164" s="285"/>
      <c r="C164" s="285"/>
      <c r="D164" s="286"/>
      <c r="E164" s="516" t="s">
        <v>926</v>
      </c>
      <c r="F164" s="511"/>
      <c r="G164" s="511"/>
      <c r="H164" s="511"/>
      <c r="I164" s="511"/>
      <c r="J164" s="511"/>
      <c r="K164" s="511"/>
      <c r="L164" s="291">
        <f>ROUNDDOWN(52500*10*1*0.012,0)</f>
        <v>6300</v>
      </c>
      <c r="M164" s="315">
        <f>+L164</f>
        <v>6300</v>
      </c>
      <c r="N164" s="316">
        <v>6300</v>
      </c>
      <c r="O164" s="316">
        <f t="shared" si="5"/>
        <v>0</v>
      </c>
      <c r="P164" s="290"/>
      <c r="Q164" s="316"/>
    </row>
    <row r="165" spans="1:17" s="82" customFormat="1" ht="24.95" customHeight="1">
      <c r="A165" s="284"/>
      <c r="B165" s="285"/>
      <c r="C165" s="285"/>
      <c r="D165" s="286"/>
      <c r="E165" s="292"/>
      <c r="F165" s="293"/>
      <c r="G165" s="510" t="s">
        <v>1577</v>
      </c>
      <c r="H165" s="510"/>
      <c r="I165" s="510"/>
      <c r="J165" s="296"/>
      <c r="K165" s="296"/>
      <c r="L165" s="291"/>
      <c r="M165" s="315"/>
      <c r="N165" s="316"/>
      <c r="O165" s="316"/>
      <c r="P165" s="290"/>
      <c r="Q165" s="316"/>
    </row>
    <row r="166" spans="1:17" s="82" customFormat="1" ht="24.95" customHeight="1">
      <c r="A166" s="284"/>
      <c r="B166" s="285"/>
      <c r="C166" s="285"/>
      <c r="D166" s="286"/>
      <c r="E166" s="509" t="s">
        <v>1578</v>
      </c>
      <c r="F166" s="510"/>
      <c r="G166" s="510"/>
      <c r="H166" s="510"/>
      <c r="I166" s="510"/>
      <c r="J166" s="295"/>
      <c r="K166" s="295"/>
      <c r="L166" s="291"/>
      <c r="M166" s="315"/>
      <c r="N166" s="316"/>
      <c r="O166" s="316"/>
      <c r="P166" s="290"/>
      <c r="Q166" s="316"/>
    </row>
    <row r="167" spans="1:17" s="82" customFormat="1" ht="24.95" customHeight="1">
      <c r="A167" s="284"/>
      <c r="B167" s="285"/>
      <c r="C167" s="285"/>
      <c r="D167" s="286"/>
      <c r="E167" s="516" t="s">
        <v>1888</v>
      </c>
      <c r="F167" s="511"/>
      <c r="G167" s="511"/>
      <c r="H167" s="511"/>
      <c r="I167" s="511"/>
      <c r="J167" s="511"/>
      <c r="K167" s="511"/>
      <c r="L167" s="291">
        <f>ROUNDDOWN(51000*15*5*0.012,0)</f>
        <v>45900</v>
      </c>
      <c r="M167" s="315">
        <f>+L167</f>
        <v>45900</v>
      </c>
      <c r="N167" s="316">
        <v>22032</v>
      </c>
      <c r="O167" s="316">
        <f t="shared" si="5"/>
        <v>23868</v>
      </c>
      <c r="P167" s="290"/>
      <c r="Q167" s="316" t="s">
        <v>1553</v>
      </c>
    </row>
    <row r="168" spans="1:17" s="82" customFormat="1" ht="24.95" customHeight="1">
      <c r="A168" s="284"/>
      <c r="B168" s="285"/>
      <c r="C168" s="285"/>
      <c r="D168" s="286"/>
      <c r="E168" s="509" t="s">
        <v>1861</v>
      </c>
      <c r="F168" s="510"/>
      <c r="G168" s="510"/>
      <c r="H168" s="510"/>
      <c r="I168" s="510"/>
      <c r="J168" s="520"/>
      <c r="K168" s="520"/>
      <c r="L168" s="291"/>
      <c r="M168" s="315"/>
      <c r="N168" s="316"/>
      <c r="O168" s="316"/>
      <c r="P168" s="290"/>
      <c r="Q168" s="316"/>
    </row>
    <row r="169" spans="1:17" s="82" customFormat="1" ht="24.95" customHeight="1">
      <c r="A169" s="284"/>
      <c r="B169" s="285"/>
      <c r="C169" s="285"/>
      <c r="D169" s="286"/>
      <c r="E169" s="516" t="s">
        <v>1889</v>
      </c>
      <c r="F169" s="511"/>
      <c r="G169" s="511"/>
      <c r="H169" s="511"/>
      <c r="I169" s="511"/>
      <c r="J169" s="511"/>
      <c r="K169" s="511"/>
      <c r="L169" s="291">
        <f>ROUNDDOWN(51000*25*5*0.5*0.012,0)</f>
        <v>38250</v>
      </c>
      <c r="M169" s="315">
        <f>+L169</f>
        <v>38250</v>
      </c>
      <c r="N169" s="316">
        <v>65520</v>
      </c>
      <c r="O169" s="316">
        <f t="shared" si="5"/>
        <v>-27270</v>
      </c>
      <c r="P169" s="290"/>
      <c r="Q169" s="316" t="s">
        <v>1579</v>
      </c>
    </row>
    <row r="170" spans="1:17" s="82" customFormat="1" ht="24.95" customHeight="1">
      <c r="A170" s="284"/>
      <c r="B170" s="285"/>
      <c r="C170" s="285"/>
      <c r="D170" s="286"/>
      <c r="E170" s="509" t="s">
        <v>1515</v>
      </c>
      <c r="F170" s="510"/>
      <c r="G170" s="510"/>
      <c r="H170" s="510"/>
      <c r="I170" s="510"/>
      <c r="J170" s="295"/>
      <c r="K170" s="295"/>
      <c r="L170" s="291"/>
      <c r="M170" s="315"/>
      <c r="N170" s="316"/>
      <c r="O170" s="316"/>
      <c r="P170" s="290"/>
      <c r="Q170" s="316"/>
    </row>
    <row r="171" spans="1:17" s="82" customFormat="1" ht="24.95" customHeight="1">
      <c r="A171" s="284"/>
      <c r="B171" s="285"/>
      <c r="C171" s="285"/>
      <c r="D171" s="286"/>
      <c r="E171" s="516" t="s">
        <v>1890</v>
      </c>
      <c r="F171" s="511"/>
      <c r="G171" s="511"/>
      <c r="H171" s="511"/>
      <c r="I171" s="511"/>
      <c r="J171" s="511"/>
      <c r="K171" s="511"/>
      <c r="L171" s="291">
        <f>ROUNDDOWN(34000*15*3*0.012,0)</f>
        <v>18360</v>
      </c>
      <c r="M171" s="315">
        <f>+L171</f>
        <v>18360</v>
      </c>
      <c r="N171" s="316">
        <v>3672</v>
      </c>
      <c r="O171" s="316">
        <f t="shared" si="5"/>
        <v>14688</v>
      </c>
      <c r="P171" s="290"/>
      <c r="Q171" s="316" t="s">
        <v>1553</v>
      </c>
    </row>
    <row r="172" spans="1:17" s="82" customFormat="1" ht="24.95" customHeight="1">
      <c r="A172" s="284"/>
      <c r="B172" s="285"/>
      <c r="C172" s="285"/>
      <c r="D172" s="286"/>
      <c r="E172" s="509" t="s">
        <v>1569</v>
      </c>
      <c r="F172" s="510"/>
      <c r="G172" s="510"/>
      <c r="H172" s="510"/>
      <c r="I172" s="510"/>
      <c r="J172" s="511"/>
      <c r="K172" s="511"/>
      <c r="L172" s="291"/>
      <c r="M172" s="315"/>
      <c r="N172" s="316"/>
      <c r="O172" s="316"/>
      <c r="P172" s="290"/>
      <c r="Q172" s="316"/>
    </row>
    <row r="173" spans="1:17" s="82" customFormat="1" ht="24.95" customHeight="1">
      <c r="A173" s="284"/>
      <c r="B173" s="285"/>
      <c r="C173" s="285"/>
      <c r="D173" s="286"/>
      <c r="E173" s="516" t="s">
        <v>1891</v>
      </c>
      <c r="F173" s="511"/>
      <c r="G173" s="511"/>
      <c r="H173" s="511"/>
      <c r="I173" s="511"/>
      <c r="J173" s="511"/>
      <c r="K173" s="511"/>
      <c r="L173" s="291">
        <f>ROUNDDOWN(34000*25*3*0.5*12/1000,0)</f>
        <v>15300</v>
      </c>
      <c r="M173" s="315">
        <f>+L173</f>
        <v>15300</v>
      </c>
      <c r="N173" s="316">
        <v>32760</v>
      </c>
      <c r="O173" s="316">
        <f t="shared" si="5"/>
        <v>-17460</v>
      </c>
      <c r="P173" s="290"/>
      <c r="Q173" s="316" t="s">
        <v>1579</v>
      </c>
    </row>
    <row r="174" spans="1:17" s="236" customFormat="1" ht="24.95" hidden="1" customHeight="1">
      <c r="A174" s="301"/>
      <c r="B174" s="302"/>
      <c r="C174" s="302"/>
      <c r="D174" s="303"/>
      <c r="E174" s="292"/>
      <c r="F174" s="293"/>
      <c r="G174" s="510" t="s">
        <v>1580</v>
      </c>
      <c r="H174" s="510"/>
      <c r="I174" s="510"/>
      <c r="J174" s="296"/>
      <c r="K174" s="296"/>
      <c r="L174" s="291"/>
      <c r="M174" s="315"/>
      <c r="N174" s="316"/>
      <c r="O174" s="316"/>
      <c r="P174" s="290"/>
      <c r="Q174" s="316"/>
    </row>
    <row r="175" spans="1:17" s="236" customFormat="1" ht="24.95" hidden="1" customHeight="1">
      <c r="A175" s="301"/>
      <c r="B175" s="302"/>
      <c r="C175" s="302"/>
      <c r="D175" s="303"/>
      <c r="E175" s="509" t="s">
        <v>1581</v>
      </c>
      <c r="F175" s="510"/>
      <c r="G175" s="510"/>
      <c r="H175" s="510"/>
      <c r="I175" s="510"/>
      <c r="J175" s="511"/>
      <c r="K175" s="511"/>
      <c r="L175" s="291"/>
      <c r="M175" s="315"/>
      <c r="N175" s="316"/>
      <c r="O175" s="316"/>
      <c r="P175" s="290"/>
      <c r="Q175" s="316"/>
    </row>
    <row r="176" spans="1:17" s="236" customFormat="1" ht="24.95" hidden="1" customHeight="1">
      <c r="A176" s="301"/>
      <c r="B176" s="302"/>
      <c r="C176" s="302"/>
      <c r="D176" s="303"/>
      <c r="E176" s="509"/>
      <c r="F176" s="510"/>
      <c r="G176" s="510"/>
      <c r="H176" s="510"/>
      <c r="I176" s="510"/>
      <c r="J176" s="511" t="s">
        <v>927</v>
      </c>
      <c r="K176" s="511"/>
      <c r="L176" s="291">
        <v>0</v>
      </c>
      <c r="M176" s="315">
        <f>+L176</f>
        <v>0</v>
      </c>
      <c r="N176" s="316">
        <v>2600</v>
      </c>
      <c r="O176" s="316">
        <f t="shared" si="5"/>
        <v>-2600</v>
      </c>
      <c r="P176" s="290"/>
      <c r="Q176" s="316" t="s">
        <v>1582</v>
      </c>
    </row>
    <row r="177" spans="1:17" s="236" customFormat="1" ht="24.95" hidden="1" customHeight="1">
      <c r="A177" s="301"/>
      <c r="B177" s="302"/>
      <c r="C177" s="302"/>
      <c r="D177" s="303"/>
      <c r="E177" s="509" t="s">
        <v>1583</v>
      </c>
      <c r="F177" s="510"/>
      <c r="G177" s="510"/>
      <c r="H177" s="510"/>
      <c r="I177" s="510"/>
      <c r="J177" s="511"/>
      <c r="K177" s="511"/>
      <c r="L177" s="291"/>
      <c r="M177" s="315"/>
      <c r="N177" s="316"/>
      <c r="O177" s="316"/>
      <c r="P177" s="290"/>
      <c r="Q177" s="316"/>
    </row>
    <row r="178" spans="1:17" s="236" customFormat="1" ht="24.95" hidden="1" customHeight="1">
      <c r="A178" s="301"/>
      <c r="B178" s="302"/>
      <c r="C178" s="302"/>
      <c r="D178" s="303"/>
      <c r="E178" s="509"/>
      <c r="F178" s="510"/>
      <c r="G178" s="510"/>
      <c r="H178" s="510"/>
      <c r="I178" s="510"/>
      <c r="J178" s="511" t="s">
        <v>928</v>
      </c>
      <c r="K178" s="511"/>
      <c r="L178" s="291">
        <v>0</v>
      </c>
      <c r="M178" s="315">
        <f>+L178</f>
        <v>0</v>
      </c>
      <c r="N178" s="316">
        <v>1456</v>
      </c>
      <c r="O178" s="316">
        <f t="shared" si="5"/>
        <v>-1456</v>
      </c>
      <c r="P178" s="290"/>
      <c r="Q178" s="316" t="s">
        <v>1582</v>
      </c>
    </row>
    <row r="179" spans="1:17" s="236" customFormat="1" ht="24.95" hidden="1" customHeight="1">
      <c r="A179" s="301"/>
      <c r="B179" s="302"/>
      <c r="C179" s="302"/>
      <c r="D179" s="303"/>
      <c r="E179" s="292"/>
      <c r="F179" s="293"/>
      <c r="G179" s="510" t="s">
        <v>929</v>
      </c>
      <c r="H179" s="510"/>
      <c r="I179" s="510"/>
      <c r="J179" s="521"/>
      <c r="K179" s="296"/>
      <c r="L179" s="291"/>
      <c r="M179" s="315"/>
      <c r="N179" s="316"/>
      <c r="O179" s="316"/>
      <c r="P179" s="290"/>
      <c r="Q179" s="316"/>
    </row>
    <row r="180" spans="1:17" s="236" customFormat="1" ht="24.95" hidden="1" customHeight="1">
      <c r="A180" s="301"/>
      <c r="B180" s="302"/>
      <c r="C180" s="302"/>
      <c r="D180" s="303"/>
      <c r="E180" s="516" t="s">
        <v>930</v>
      </c>
      <c r="F180" s="511"/>
      <c r="G180" s="511"/>
      <c r="H180" s="511"/>
      <c r="I180" s="511"/>
      <c r="J180" s="511"/>
      <c r="K180" s="511"/>
      <c r="L180" s="291">
        <v>0</v>
      </c>
      <c r="M180" s="315">
        <f>+L180</f>
        <v>0</v>
      </c>
      <c r="N180" s="316">
        <v>6888</v>
      </c>
      <c r="O180" s="316">
        <f t="shared" si="5"/>
        <v>-6888</v>
      </c>
      <c r="P180" s="290"/>
      <c r="Q180" s="316" t="s">
        <v>1584</v>
      </c>
    </row>
    <row r="181" spans="1:17" s="82" customFormat="1" ht="24.95" customHeight="1">
      <c r="A181" s="284"/>
      <c r="B181" s="285"/>
      <c r="C181" s="285"/>
      <c r="D181" s="286"/>
      <c r="E181" s="292"/>
      <c r="F181" s="293"/>
      <c r="G181" s="510" t="s">
        <v>1992</v>
      </c>
      <c r="H181" s="510"/>
      <c r="I181" s="510"/>
      <c r="J181" s="521"/>
      <c r="K181" s="296"/>
      <c r="L181" s="291"/>
      <c r="M181" s="315"/>
      <c r="N181" s="316"/>
      <c r="O181" s="316"/>
      <c r="P181" s="290"/>
      <c r="Q181" s="316"/>
    </row>
    <row r="182" spans="1:17" s="82" customFormat="1" ht="24.95" customHeight="1">
      <c r="A182" s="284"/>
      <c r="B182" s="285"/>
      <c r="C182" s="285"/>
      <c r="D182" s="286"/>
      <c r="E182" s="509" t="s">
        <v>1970</v>
      </c>
      <c r="F182" s="510"/>
      <c r="G182" s="510"/>
      <c r="H182" s="510"/>
      <c r="I182" s="510"/>
      <c r="J182" s="511"/>
      <c r="K182" s="511"/>
      <c r="L182" s="291"/>
      <c r="M182" s="315"/>
      <c r="N182" s="316"/>
      <c r="O182" s="316"/>
      <c r="P182" s="290"/>
      <c r="Q182" s="316"/>
    </row>
    <row r="183" spans="1:17" s="82" customFormat="1" ht="24.95" customHeight="1">
      <c r="A183" s="284"/>
      <c r="B183" s="285"/>
      <c r="C183" s="285"/>
      <c r="D183" s="286"/>
      <c r="E183" s="516" t="s">
        <v>931</v>
      </c>
      <c r="F183" s="511"/>
      <c r="G183" s="511"/>
      <c r="H183" s="511"/>
      <c r="I183" s="511"/>
      <c r="J183" s="511"/>
      <c r="K183" s="511"/>
      <c r="L183" s="291">
        <f>ROUNDDOWN(23200*10*1*90%/1000,0)</f>
        <v>208</v>
      </c>
      <c r="M183" s="315">
        <f>+L183</f>
        <v>208</v>
      </c>
      <c r="N183" s="316">
        <v>208</v>
      </c>
      <c r="O183" s="316">
        <f t="shared" si="5"/>
        <v>0</v>
      </c>
      <c r="P183" s="290"/>
      <c r="Q183" s="316"/>
    </row>
    <row r="184" spans="1:17" s="82" customFormat="1" ht="24.95" customHeight="1">
      <c r="A184" s="284"/>
      <c r="B184" s="285"/>
      <c r="C184" s="285"/>
      <c r="D184" s="286"/>
      <c r="E184" s="509" t="s">
        <v>1585</v>
      </c>
      <c r="F184" s="510"/>
      <c r="G184" s="510"/>
      <c r="H184" s="510"/>
      <c r="I184" s="510"/>
      <c r="J184" s="511"/>
      <c r="K184" s="511"/>
      <c r="L184" s="291"/>
      <c r="M184" s="315"/>
      <c r="N184" s="316"/>
      <c r="O184" s="316"/>
      <c r="P184" s="290"/>
      <c r="Q184" s="316"/>
    </row>
    <row r="185" spans="1:17" s="82" customFormat="1" ht="24.95" customHeight="1">
      <c r="A185" s="284"/>
      <c r="B185" s="285"/>
      <c r="C185" s="285"/>
      <c r="D185" s="286"/>
      <c r="E185" s="509"/>
      <c r="F185" s="510"/>
      <c r="G185" s="510"/>
      <c r="H185" s="510"/>
      <c r="I185" s="510"/>
      <c r="J185" s="511" t="s">
        <v>1972</v>
      </c>
      <c r="K185" s="511"/>
      <c r="L185" s="291">
        <f>ROUNDDOWN(35200*4*0.001,0)</f>
        <v>140</v>
      </c>
      <c r="M185" s="315">
        <f>+L185</f>
        <v>140</v>
      </c>
      <c r="N185" s="316">
        <v>140</v>
      </c>
      <c r="O185" s="316">
        <f t="shared" si="5"/>
        <v>0</v>
      </c>
      <c r="P185" s="290"/>
      <c r="Q185" s="316"/>
    </row>
    <row r="186" spans="1:17" s="82" customFormat="1" ht="24.95" customHeight="1">
      <c r="A186" s="284"/>
      <c r="B186" s="285"/>
      <c r="C186" s="285"/>
      <c r="D186" s="286"/>
      <c r="E186" s="509" t="s">
        <v>1971</v>
      </c>
      <c r="F186" s="510"/>
      <c r="G186" s="510"/>
      <c r="H186" s="510"/>
      <c r="I186" s="510"/>
      <c r="J186" s="511"/>
      <c r="K186" s="511"/>
      <c r="L186" s="291"/>
      <c r="M186" s="315"/>
      <c r="N186" s="316"/>
      <c r="O186" s="316"/>
      <c r="P186" s="290"/>
      <c r="Q186" s="316"/>
    </row>
    <row r="187" spans="1:17" s="82" customFormat="1" ht="24.95" customHeight="1">
      <c r="A187" s="284"/>
      <c r="B187" s="285"/>
      <c r="C187" s="285"/>
      <c r="D187" s="286"/>
      <c r="E187" s="516" t="s">
        <v>932</v>
      </c>
      <c r="F187" s="511"/>
      <c r="G187" s="511"/>
      <c r="H187" s="511"/>
      <c r="I187" s="511"/>
      <c r="J187" s="511"/>
      <c r="K187" s="511"/>
      <c r="L187" s="291">
        <f>ROUNDDOWN(29000*10*1*90%/1000,0)</f>
        <v>261</v>
      </c>
      <c r="M187" s="315">
        <f>+L187</f>
        <v>261</v>
      </c>
      <c r="N187" s="316">
        <v>261</v>
      </c>
      <c r="O187" s="316">
        <f t="shared" si="5"/>
        <v>0</v>
      </c>
      <c r="P187" s="290"/>
      <c r="Q187" s="316"/>
    </row>
    <row r="188" spans="1:17" s="82" customFormat="1" ht="24.95" customHeight="1">
      <c r="A188" s="284"/>
      <c r="B188" s="285"/>
      <c r="C188" s="285"/>
      <c r="D188" s="286"/>
      <c r="E188" s="509" t="s">
        <v>1586</v>
      </c>
      <c r="F188" s="510"/>
      <c r="G188" s="510"/>
      <c r="H188" s="510"/>
      <c r="I188" s="510"/>
      <c r="J188" s="511"/>
      <c r="K188" s="511"/>
      <c r="L188" s="291"/>
      <c r="M188" s="315"/>
      <c r="N188" s="316"/>
      <c r="O188" s="316"/>
      <c r="P188" s="290"/>
      <c r="Q188" s="316"/>
    </row>
    <row r="189" spans="1:17" s="82" customFormat="1" ht="24.95" customHeight="1">
      <c r="A189" s="284"/>
      <c r="B189" s="285"/>
      <c r="C189" s="285"/>
      <c r="D189" s="286"/>
      <c r="E189" s="509"/>
      <c r="F189" s="510"/>
      <c r="G189" s="510"/>
      <c r="H189" s="510"/>
      <c r="I189" s="510"/>
      <c r="J189" s="511" t="s">
        <v>933</v>
      </c>
      <c r="K189" s="511"/>
      <c r="L189" s="291">
        <f>ROUNDDOWN(44000*4*0.001,0)</f>
        <v>176</v>
      </c>
      <c r="M189" s="315">
        <f>+L189</f>
        <v>176</v>
      </c>
      <c r="N189" s="316">
        <v>176</v>
      </c>
      <c r="O189" s="316">
        <f t="shared" si="5"/>
        <v>0</v>
      </c>
      <c r="P189" s="290"/>
      <c r="Q189" s="316"/>
    </row>
    <row r="190" spans="1:17" s="82" customFormat="1" ht="24.95" customHeight="1">
      <c r="A190" s="284"/>
      <c r="B190" s="285"/>
      <c r="C190" s="285"/>
      <c r="D190" s="286"/>
      <c r="E190" s="292"/>
      <c r="F190" s="293"/>
      <c r="G190" s="510" t="s">
        <v>934</v>
      </c>
      <c r="H190" s="510"/>
      <c r="I190" s="510"/>
      <c r="J190" s="296"/>
      <c r="K190" s="296"/>
      <c r="L190" s="291"/>
      <c r="M190" s="315"/>
      <c r="N190" s="316"/>
      <c r="O190" s="316"/>
      <c r="P190" s="290"/>
      <c r="Q190" s="316"/>
    </row>
    <row r="191" spans="1:17" s="82" customFormat="1" ht="24.95" customHeight="1">
      <c r="A191" s="284"/>
      <c r="B191" s="285"/>
      <c r="C191" s="285"/>
      <c r="D191" s="286"/>
      <c r="E191" s="509" t="s">
        <v>1587</v>
      </c>
      <c r="F191" s="510"/>
      <c r="G191" s="510"/>
      <c r="H191" s="510"/>
      <c r="I191" s="510"/>
      <c r="J191" s="511"/>
      <c r="K191" s="511"/>
      <c r="L191" s="291"/>
      <c r="M191" s="315"/>
      <c r="N191" s="316"/>
      <c r="O191" s="316"/>
      <c r="P191" s="290"/>
      <c r="Q191" s="316"/>
    </row>
    <row r="192" spans="1:17" s="82" customFormat="1" ht="24.95" customHeight="1">
      <c r="A192" s="284"/>
      <c r="B192" s="285"/>
      <c r="C192" s="285"/>
      <c r="D192" s="286"/>
      <c r="E192" s="516" t="s">
        <v>935</v>
      </c>
      <c r="F192" s="511"/>
      <c r="G192" s="511"/>
      <c r="H192" s="511"/>
      <c r="I192" s="511"/>
      <c r="J192" s="511"/>
      <c r="K192" s="511"/>
      <c r="L192" s="291">
        <f>ROUNDDOWN(41000*14*4*0.002,0)</f>
        <v>4592</v>
      </c>
      <c r="M192" s="315">
        <f>+L192</f>
        <v>4592</v>
      </c>
      <c r="N192" s="316">
        <v>4592</v>
      </c>
      <c r="O192" s="316">
        <f t="shared" si="5"/>
        <v>0</v>
      </c>
      <c r="P192" s="290"/>
      <c r="Q192" s="316"/>
    </row>
    <row r="193" spans="1:17" s="82" customFormat="1" ht="24.95" customHeight="1">
      <c r="A193" s="284"/>
      <c r="B193" s="285"/>
      <c r="C193" s="285"/>
      <c r="D193" s="286"/>
      <c r="E193" s="509" t="s">
        <v>1588</v>
      </c>
      <c r="F193" s="510"/>
      <c r="G193" s="510"/>
      <c r="H193" s="510"/>
      <c r="I193" s="510"/>
      <c r="J193" s="511"/>
      <c r="K193" s="511"/>
      <c r="L193" s="291"/>
      <c r="M193" s="315"/>
      <c r="N193" s="316"/>
      <c r="O193" s="316"/>
      <c r="P193" s="290"/>
      <c r="Q193" s="316"/>
    </row>
    <row r="194" spans="1:17" s="82" customFormat="1" ht="24.95" customHeight="1">
      <c r="A194" s="284"/>
      <c r="B194" s="285"/>
      <c r="C194" s="285"/>
      <c r="D194" s="286"/>
      <c r="E194" s="516" t="s">
        <v>1589</v>
      </c>
      <c r="F194" s="511"/>
      <c r="G194" s="511"/>
      <c r="H194" s="511"/>
      <c r="I194" s="511"/>
      <c r="J194" s="511"/>
      <c r="K194" s="511"/>
      <c r="L194" s="291">
        <f>ROUNDDOWN(41000*10*4*2*90%/1000,0)</f>
        <v>2952</v>
      </c>
      <c r="M194" s="315">
        <f>+L194</f>
        <v>2952</v>
      </c>
      <c r="N194" s="316">
        <v>2952</v>
      </c>
      <c r="O194" s="316">
        <f t="shared" si="5"/>
        <v>0</v>
      </c>
      <c r="P194" s="290"/>
      <c r="Q194" s="316"/>
    </row>
    <row r="195" spans="1:17" s="82" customFormat="1" ht="24.95" customHeight="1">
      <c r="A195" s="284"/>
      <c r="B195" s="285"/>
      <c r="C195" s="285"/>
      <c r="D195" s="286"/>
      <c r="E195" s="509" t="s">
        <v>1590</v>
      </c>
      <c r="F195" s="510"/>
      <c r="G195" s="510"/>
      <c r="H195" s="510"/>
      <c r="I195" s="510"/>
      <c r="J195" s="511"/>
      <c r="K195" s="511"/>
      <c r="L195" s="291"/>
      <c r="M195" s="315"/>
      <c r="N195" s="316"/>
      <c r="O195" s="316"/>
      <c r="P195" s="290"/>
      <c r="Q195" s="316"/>
    </row>
    <row r="196" spans="1:17" s="82" customFormat="1" ht="24.95" customHeight="1">
      <c r="A196" s="284"/>
      <c r="B196" s="285"/>
      <c r="C196" s="285"/>
      <c r="D196" s="286"/>
      <c r="E196" s="516" t="s">
        <v>936</v>
      </c>
      <c r="F196" s="511"/>
      <c r="G196" s="511"/>
      <c r="H196" s="511"/>
      <c r="I196" s="511"/>
      <c r="J196" s="511"/>
      <c r="K196" s="511"/>
      <c r="L196" s="291">
        <f>ROUNDDOWN(47500*8*1*0.002,0)</f>
        <v>760</v>
      </c>
      <c r="M196" s="315">
        <f>+L196</f>
        <v>760</v>
      </c>
      <c r="N196" s="316">
        <v>760</v>
      </c>
      <c r="O196" s="316">
        <f t="shared" si="5"/>
        <v>0</v>
      </c>
      <c r="P196" s="290"/>
      <c r="Q196" s="316"/>
    </row>
    <row r="197" spans="1:17" s="82" customFormat="1" ht="24.95" customHeight="1">
      <c r="A197" s="284"/>
      <c r="B197" s="285"/>
      <c r="C197" s="285"/>
      <c r="D197" s="286"/>
      <c r="E197" s="509" t="s">
        <v>1591</v>
      </c>
      <c r="F197" s="510"/>
      <c r="G197" s="510"/>
      <c r="H197" s="510"/>
      <c r="I197" s="510"/>
      <c r="J197" s="511"/>
      <c r="K197" s="511"/>
      <c r="L197" s="291"/>
      <c r="M197" s="315"/>
      <c r="N197" s="316"/>
      <c r="O197" s="316"/>
      <c r="P197" s="290"/>
      <c r="Q197" s="316"/>
    </row>
    <row r="198" spans="1:17" s="82" customFormat="1" ht="24.95" customHeight="1">
      <c r="A198" s="284"/>
      <c r="B198" s="285"/>
      <c r="C198" s="285"/>
      <c r="D198" s="286"/>
      <c r="E198" s="516" t="s">
        <v>1592</v>
      </c>
      <c r="F198" s="511"/>
      <c r="G198" s="511"/>
      <c r="H198" s="511"/>
      <c r="I198" s="511"/>
      <c r="J198" s="511"/>
      <c r="K198" s="511"/>
      <c r="L198" s="291">
        <f>ROUNDDOWN(47500*10*1*2*90%/1000,0)</f>
        <v>855</v>
      </c>
      <c r="M198" s="315">
        <f>+L198</f>
        <v>855</v>
      </c>
      <c r="N198" s="316">
        <v>855</v>
      </c>
      <c r="O198" s="316">
        <f t="shared" si="5"/>
        <v>0</v>
      </c>
      <c r="P198" s="290"/>
      <c r="Q198" s="316"/>
    </row>
    <row r="199" spans="1:17" s="82" customFormat="1" ht="24.95" customHeight="1">
      <c r="A199" s="284"/>
      <c r="B199" s="285"/>
      <c r="C199" s="285"/>
      <c r="D199" s="286"/>
      <c r="E199" s="509" t="s">
        <v>937</v>
      </c>
      <c r="F199" s="510"/>
      <c r="G199" s="510"/>
      <c r="H199" s="510"/>
      <c r="I199" s="510"/>
      <c r="J199" s="511"/>
      <c r="K199" s="511"/>
      <c r="L199" s="291"/>
      <c r="M199" s="315"/>
      <c r="N199" s="316"/>
      <c r="O199" s="316"/>
      <c r="P199" s="290"/>
      <c r="Q199" s="316"/>
    </row>
    <row r="200" spans="1:17" s="82" customFormat="1" ht="24.95" customHeight="1">
      <c r="A200" s="284"/>
      <c r="B200" s="285"/>
      <c r="C200" s="285"/>
      <c r="D200" s="286"/>
      <c r="E200" s="516" t="s">
        <v>938</v>
      </c>
      <c r="F200" s="511"/>
      <c r="G200" s="511"/>
      <c r="H200" s="511"/>
      <c r="I200" s="511"/>
      <c r="J200" s="511"/>
      <c r="K200" s="511"/>
      <c r="L200" s="291">
        <f>ROUNDDOWN(33000*3*0.012,0)</f>
        <v>1188</v>
      </c>
      <c r="M200" s="315">
        <f>+L200</f>
        <v>1188</v>
      </c>
      <c r="N200" s="316">
        <v>1188</v>
      </c>
      <c r="O200" s="316">
        <f t="shared" si="5"/>
        <v>0</v>
      </c>
      <c r="P200" s="290"/>
      <c r="Q200" s="316"/>
    </row>
    <row r="201" spans="1:17" s="82" customFormat="1" ht="24.95" customHeight="1">
      <c r="A201" s="284"/>
      <c r="B201" s="285"/>
      <c r="C201" s="285"/>
      <c r="D201" s="286"/>
      <c r="E201" s="509" t="s">
        <v>939</v>
      </c>
      <c r="F201" s="510"/>
      <c r="G201" s="510"/>
      <c r="H201" s="510"/>
      <c r="I201" s="510"/>
      <c r="J201" s="521"/>
      <c r="K201" s="521"/>
      <c r="L201" s="291"/>
      <c r="M201" s="315"/>
      <c r="N201" s="316"/>
      <c r="O201" s="316"/>
      <c r="P201" s="290"/>
      <c r="Q201" s="316"/>
    </row>
    <row r="202" spans="1:17" s="82" customFormat="1" ht="24.95" customHeight="1">
      <c r="A202" s="284"/>
      <c r="B202" s="285"/>
      <c r="C202" s="285"/>
      <c r="D202" s="286"/>
      <c r="E202" s="516" t="s">
        <v>940</v>
      </c>
      <c r="F202" s="511"/>
      <c r="G202" s="511"/>
      <c r="H202" s="511"/>
      <c r="I202" s="511"/>
      <c r="J202" s="511"/>
      <c r="K202" s="511"/>
      <c r="L202" s="291">
        <f>ROUNDDOWN(66550*18*12*25%/1000,0)</f>
        <v>3593</v>
      </c>
      <c r="M202" s="315">
        <f>+L202</f>
        <v>3593</v>
      </c>
      <c r="N202" s="316">
        <v>3593</v>
      </c>
      <c r="O202" s="316">
        <f t="shared" si="5"/>
        <v>0</v>
      </c>
      <c r="P202" s="290"/>
      <c r="Q202" s="316"/>
    </row>
    <row r="203" spans="1:17" s="82" customFormat="1" ht="24.95" customHeight="1">
      <c r="A203" s="284"/>
      <c r="B203" s="285"/>
      <c r="C203" s="285"/>
      <c r="D203" s="286"/>
      <c r="E203" s="509" t="s">
        <v>941</v>
      </c>
      <c r="F203" s="510"/>
      <c r="G203" s="510"/>
      <c r="H203" s="510"/>
      <c r="I203" s="510"/>
      <c r="J203" s="511"/>
      <c r="K203" s="511"/>
      <c r="L203" s="291"/>
      <c r="M203" s="315"/>
      <c r="N203" s="316"/>
      <c r="O203" s="316"/>
      <c r="P203" s="290"/>
      <c r="Q203" s="316"/>
    </row>
    <row r="204" spans="1:17" s="82" customFormat="1" ht="24.95" customHeight="1">
      <c r="A204" s="284"/>
      <c r="B204" s="285"/>
      <c r="C204" s="285"/>
      <c r="D204" s="286"/>
      <c r="E204" s="509"/>
      <c r="F204" s="510"/>
      <c r="G204" s="510"/>
      <c r="H204" s="510"/>
      <c r="I204" s="510"/>
      <c r="J204" s="511" t="s">
        <v>942</v>
      </c>
      <c r="K204" s="511"/>
      <c r="L204" s="291">
        <f>ROUNDDOWN(200000*8*0.012,0)</f>
        <v>19200</v>
      </c>
      <c r="M204" s="315">
        <f>+L204</f>
        <v>19200</v>
      </c>
      <c r="N204" s="316">
        <v>19200</v>
      </c>
      <c r="O204" s="316">
        <f t="shared" si="5"/>
        <v>0</v>
      </c>
      <c r="P204" s="290"/>
      <c r="Q204" s="316"/>
    </row>
    <row r="205" spans="1:17" s="82" customFormat="1" ht="24.95" customHeight="1">
      <c r="A205" s="284"/>
      <c r="B205" s="285"/>
      <c r="C205" s="285"/>
      <c r="D205" s="286"/>
      <c r="E205" s="509" t="s">
        <v>943</v>
      </c>
      <c r="F205" s="510"/>
      <c r="G205" s="510"/>
      <c r="H205" s="510"/>
      <c r="I205" s="510"/>
      <c r="J205" s="511"/>
      <c r="K205" s="511"/>
      <c r="L205" s="291"/>
      <c r="M205" s="315"/>
      <c r="N205" s="316"/>
      <c r="O205" s="316"/>
      <c r="P205" s="290"/>
      <c r="Q205" s="316"/>
    </row>
    <row r="206" spans="1:17" s="82" customFormat="1" ht="24.95" customHeight="1">
      <c r="A206" s="284"/>
      <c r="B206" s="285"/>
      <c r="C206" s="285"/>
      <c r="D206" s="286"/>
      <c r="E206" s="509"/>
      <c r="F206" s="510"/>
      <c r="G206" s="510"/>
      <c r="H206" s="510"/>
      <c r="I206" s="510"/>
      <c r="J206" s="511" t="s">
        <v>944</v>
      </c>
      <c r="K206" s="511"/>
      <c r="L206" s="291">
        <f>ROUNDDOWN(250000*15*0.004,0)</f>
        <v>15000</v>
      </c>
      <c r="M206" s="315">
        <f>+L206</f>
        <v>15000</v>
      </c>
      <c r="N206" s="316">
        <v>15000</v>
      </c>
      <c r="O206" s="316">
        <f t="shared" si="5"/>
        <v>0</v>
      </c>
      <c r="P206" s="290"/>
      <c r="Q206" s="316"/>
    </row>
    <row r="207" spans="1:17" s="82" customFormat="1" ht="24.95" customHeight="1">
      <c r="A207" s="284"/>
      <c r="B207" s="285"/>
      <c r="C207" s="285"/>
      <c r="D207" s="286"/>
      <c r="E207" s="508" t="s">
        <v>945</v>
      </c>
      <c r="F207" s="403"/>
      <c r="G207" s="403"/>
      <c r="H207" s="403"/>
      <c r="I207" s="403"/>
      <c r="J207" s="403"/>
      <c r="K207" s="287"/>
      <c r="L207" s="288">
        <f>+SUM(L208:L225)</f>
        <v>111804</v>
      </c>
      <c r="M207" s="288"/>
      <c r="N207" s="288"/>
      <c r="O207" s="288"/>
      <c r="P207" s="289"/>
      <c r="Q207" s="316"/>
    </row>
    <row r="208" spans="1:17" s="82" customFormat="1" ht="24.95" customHeight="1">
      <c r="A208" s="284"/>
      <c r="B208" s="285"/>
      <c r="C208" s="285"/>
      <c r="D208" s="286"/>
      <c r="E208" s="509" t="s">
        <v>946</v>
      </c>
      <c r="F208" s="510"/>
      <c r="G208" s="510"/>
      <c r="H208" s="510"/>
      <c r="I208" s="510"/>
      <c r="J208" s="511"/>
      <c r="K208" s="511"/>
      <c r="L208" s="291"/>
      <c r="M208" s="315"/>
      <c r="N208" s="316"/>
      <c r="O208" s="316"/>
      <c r="P208" s="290"/>
      <c r="Q208" s="316"/>
    </row>
    <row r="209" spans="1:17" s="82" customFormat="1" ht="24.95" customHeight="1">
      <c r="A209" s="284"/>
      <c r="B209" s="285"/>
      <c r="C209" s="285"/>
      <c r="D209" s="286"/>
      <c r="E209" s="509"/>
      <c r="F209" s="510"/>
      <c r="G209" s="510"/>
      <c r="H209" s="510"/>
      <c r="I209" s="510"/>
      <c r="J209" s="511" t="s">
        <v>947</v>
      </c>
      <c r="K209" s="511"/>
      <c r="L209" s="291">
        <f>ROUNDDOWN(10000*80*0.012,0)</f>
        <v>9600</v>
      </c>
      <c r="M209" s="315">
        <f>+L209</f>
        <v>9600</v>
      </c>
      <c r="N209" s="316">
        <v>9600</v>
      </c>
      <c r="O209" s="316">
        <f>+M209-N209</f>
        <v>0</v>
      </c>
      <c r="P209" s="290"/>
      <c r="Q209" s="316"/>
    </row>
    <row r="210" spans="1:17" s="82" customFormat="1" ht="24.95" customHeight="1">
      <c r="A210" s="284"/>
      <c r="B210" s="285"/>
      <c r="C210" s="285"/>
      <c r="D210" s="286"/>
      <c r="E210" s="509" t="s">
        <v>948</v>
      </c>
      <c r="F210" s="510"/>
      <c r="G210" s="510"/>
      <c r="H210" s="510"/>
      <c r="I210" s="510"/>
      <c r="J210" s="511"/>
      <c r="K210" s="511"/>
      <c r="L210" s="291"/>
      <c r="M210" s="315"/>
      <c r="N210" s="316"/>
      <c r="O210" s="316"/>
      <c r="P210" s="290"/>
      <c r="Q210" s="316"/>
    </row>
    <row r="211" spans="1:17" s="82" customFormat="1" ht="24.95" customHeight="1">
      <c r="A211" s="284"/>
      <c r="B211" s="285"/>
      <c r="C211" s="285"/>
      <c r="D211" s="286"/>
      <c r="E211" s="509"/>
      <c r="F211" s="510"/>
      <c r="G211" s="510"/>
      <c r="H211" s="510"/>
      <c r="I211" s="510"/>
      <c r="J211" s="511" t="s">
        <v>949</v>
      </c>
      <c r="K211" s="511"/>
      <c r="L211" s="291">
        <f>ROUNDDOWN(11000*8*0.012,0)</f>
        <v>1056</v>
      </c>
      <c r="M211" s="315">
        <f>+L211</f>
        <v>1056</v>
      </c>
      <c r="N211" s="316">
        <v>1056</v>
      </c>
      <c r="O211" s="316">
        <f>+M211-N211</f>
        <v>0</v>
      </c>
      <c r="P211" s="290"/>
      <c r="Q211" s="316"/>
    </row>
    <row r="212" spans="1:17" s="82" customFormat="1" ht="24.95" customHeight="1">
      <c r="A212" s="284"/>
      <c r="B212" s="285"/>
      <c r="C212" s="285"/>
      <c r="D212" s="286"/>
      <c r="E212" s="509" t="s">
        <v>950</v>
      </c>
      <c r="F212" s="510"/>
      <c r="G212" s="510"/>
      <c r="H212" s="510"/>
      <c r="I212" s="510"/>
      <c r="J212" s="511"/>
      <c r="K212" s="511"/>
      <c r="L212" s="291"/>
      <c r="M212" s="315"/>
      <c r="N212" s="316"/>
      <c r="O212" s="316"/>
      <c r="P212" s="290"/>
      <c r="Q212" s="316"/>
    </row>
    <row r="213" spans="1:17" s="82" customFormat="1" ht="24.95" customHeight="1">
      <c r="A213" s="284"/>
      <c r="B213" s="285"/>
      <c r="C213" s="285"/>
      <c r="D213" s="286"/>
      <c r="E213" s="509"/>
      <c r="F213" s="510"/>
      <c r="G213" s="510"/>
      <c r="H213" s="510"/>
      <c r="I213" s="510"/>
      <c r="J213" s="511" t="s">
        <v>951</v>
      </c>
      <c r="K213" s="511"/>
      <c r="L213" s="291">
        <f>ROUNDDOWN(7500*630*0.012,0)</f>
        <v>56700</v>
      </c>
      <c r="M213" s="315">
        <f>+L213</f>
        <v>56700</v>
      </c>
      <c r="N213" s="316">
        <v>56700</v>
      </c>
      <c r="O213" s="316">
        <f>+M213-N213</f>
        <v>0</v>
      </c>
      <c r="P213" s="290"/>
      <c r="Q213" s="316"/>
    </row>
    <row r="214" spans="1:17" s="82" customFormat="1" ht="24.95" customHeight="1">
      <c r="A214" s="284"/>
      <c r="B214" s="285"/>
      <c r="C214" s="285"/>
      <c r="D214" s="286"/>
      <c r="E214" s="509" t="s">
        <v>952</v>
      </c>
      <c r="F214" s="510"/>
      <c r="G214" s="510"/>
      <c r="H214" s="510"/>
      <c r="I214" s="510"/>
      <c r="J214" s="511"/>
      <c r="K214" s="511"/>
      <c r="L214" s="291"/>
      <c r="M214" s="315"/>
      <c r="N214" s="316"/>
      <c r="O214" s="316"/>
      <c r="P214" s="290"/>
      <c r="Q214" s="316"/>
    </row>
    <row r="215" spans="1:17" s="82" customFormat="1" ht="24.95" customHeight="1">
      <c r="A215" s="284"/>
      <c r="B215" s="285"/>
      <c r="C215" s="285"/>
      <c r="D215" s="286"/>
      <c r="E215" s="509"/>
      <c r="F215" s="510"/>
      <c r="G215" s="510"/>
      <c r="H215" s="510"/>
      <c r="I215" s="510"/>
      <c r="J215" s="511" t="s">
        <v>1593</v>
      </c>
      <c r="K215" s="511"/>
      <c r="L215" s="291">
        <f>ROUNDDOWN(5000*500*0.012,0)</f>
        <v>30000</v>
      </c>
      <c r="M215" s="315">
        <f>+L215</f>
        <v>30000</v>
      </c>
      <c r="N215" s="316">
        <v>39000</v>
      </c>
      <c r="O215" s="316">
        <f>+M215-N215</f>
        <v>-9000</v>
      </c>
      <c r="P215" s="290"/>
      <c r="Q215" s="316" t="s">
        <v>1594</v>
      </c>
    </row>
    <row r="216" spans="1:17" s="82" customFormat="1" ht="24.95" customHeight="1">
      <c r="A216" s="284"/>
      <c r="B216" s="285"/>
      <c r="C216" s="285"/>
      <c r="D216" s="286"/>
      <c r="E216" s="509" t="s">
        <v>953</v>
      </c>
      <c r="F216" s="510"/>
      <c r="G216" s="510"/>
      <c r="H216" s="510"/>
      <c r="I216" s="510"/>
      <c r="J216" s="511"/>
      <c r="K216" s="511"/>
      <c r="L216" s="291"/>
      <c r="M216" s="315"/>
      <c r="N216" s="316"/>
      <c r="O216" s="316"/>
      <c r="P216" s="290"/>
      <c r="Q216" s="316"/>
    </row>
    <row r="217" spans="1:17" s="82" customFormat="1" ht="24.95" customHeight="1">
      <c r="A217" s="284"/>
      <c r="B217" s="285"/>
      <c r="C217" s="285"/>
      <c r="D217" s="286"/>
      <c r="E217" s="516" t="s">
        <v>954</v>
      </c>
      <c r="F217" s="511"/>
      <c r="G217" s="511"/>
      <c r="H217" s="511"/>
      <c r="I217" s="511"/>
      <c r="J217" s="511"/>
      <c r="K217" s="511"/>
      <c r="L217" s="291">
        <f>ROUNDDOWN(500*4*106*12/1000,0)</f>
        <v>2544</v>
      </c>
      <c r="M217" s="315">
        <f>+L217</f>
        <v>2544</v>
      </c>
      <c r="N217" s="316">
        <v>2544</v>
      </c>
      <c r="O217" s="316">
        <f>+M217-N217</f>
        <v>0</v>
      </c>
      <c r="P217" s="290"/>
      <c r="Q217" s="316"/>
    </row>
    <row r="218" spans="1:17" s="82" customFormat="1" ht="24.95" customHeight="1">
      <c r="A218" s="284"/>
      <c r="B218" s="285"/>
      <c r="C218" s="285"/>
      <c r="D218" s="286"/>
      <c r="E218" s="509" t="s">
        <v>955</v>
      </c>
      <c r="F218" s="510"/>
      <c r="G218" s="510"/>
      <c r="H218" s="510"/>
      <c r="I218" s="510"/>
      <c r="J218" s="511"/>
      <c r="K218" s="511"/>
      <c r="L218" s="291"/>
      <c r="M218" s="315"/>
      <c r="N218" s="316"/>
      <c r="O218" s="316"/>
      <c r="P218" s="290"/>
      <c r="Q218" s="316"/>
    </row>
    <row r="219" spans="1:17" s="82" customFormat="1" ht="24.95" customHeight="1">
      <c r="A219" s="284"/>
      <c r="B219" s="285"/>
      <c r="C219" s="285"/>
      <c r="D219" s="286"/>
      <c r="E219" s="516" t="s">
        <v>956</v>
      </c>
      <c r="F219" s="511"/>
      <c r="G219" s="511"/>
      <c r="H219" s="511"/>
      <c r="I219" s="511"/>
      <c r="J219" s="511"/>
      <c r="K219" s="511"/>
      <c r="L219" s="291">
        <f>ROUNDDOWN(300*2*120*0.012,0)</f>
        <v>864</v>
      </c>
      <c r="M219" s="315">
        <f>+L219</f>
        <v>864</v>
      </c>
      <c r="N219" s="316">
        <v>864</v>
      </c>
      <c r="O219" s="316">
        <f>+M219-N219</f>
        <v>0</v>
      </c>
      <c r="P219" s="290"/>
      <c r="Q219" s="316"/>
    </row>
    <row r="220" spans="1:17" s="82" customFormat="1" ht="24.95" customHeight="1">
      <c r="A220" s="284"/>
      <c r="B220" s="285"/>
      <c r="C220" s="285"/>
      <c r="D220" s="286"/>
      <c r="E220" s="509" t="s">
        <v>957</v>
      </c>
      <c r="F220" s="510"/>
      <c r="G220" s="510"/>
      <c r="H220" s="510"/>
      <c r="I220" s="510"/>
      <c r="J220" s="511"/>
      <c r="K220" s="511"/>
      <c r="L220" s="291"/>
      <c r="M220" s="315"/>
      <c r="N220" s="316"/>
      <c r="O220" s="316"/>
      <c r="P220" s="290"/>
      <c r="Q220" s="316"/>
    </row>
    <row r="221" spans="1:17" s="82" customFormat="1" ht="24.95" customHeight="1">
      <c r="A221" s="284"/>
      <c r="B221" s="285"/>
      <c r="C221" s="285"/>
      <c r="D221" s="286"/>
      <c r="E221" s="509"/>
      <c r="F221" s="510"/>
      <c r="G221" s="510"/>
      <c r="H221" s="510"/>
      <c r="I221" s="510"/>
      <c r="J221" s="511" t="s">
        <v>958</v>
      </c>
      <c r="K221" s="511"/>
      <c r="L221" s="291">
        <f>ROUNDDOWN(3000*100*0.012,0)</f>
        <v>3600</v>
      </c>
      <c r="M221" s="315">
        <f>+L221</f>
        <v>3600</v>
      </c>
      <c r="N221" s="316">
        <v>3600</v>
      </c>
      <c r="O221" s="316">
        <f>+M221-N221</f>
        <v>0</v>
      </c>
      <c r="P221" s="290"/>
      <c r="Q221" s="316"/>
    </row>
    <row r="222" spans="1:17" s="82" customFormat="1" ht="24.95" customHeight="1">
      <c r="A222" s="284"/>
      <c r="B222" s="285"/>
      <c r="C222" s="285"/>
      <c r="D222" s="286"/>
      <c r="E222" s="509" t="s">
        <v>959</v>
      </c>
      <c r="F222" s="510"/>
      <c r="G222" s="510"/>
      <c r="H222" s="510"/>
      <c r="I222" s="510"/>
      <c r="J222" s="511"/>
      <c r="K222" s="511"/>
      <c r="L222" s="291"/>
      <c r="M222" s="315"/>
      <c r="N222" s="316"/>
      <c r="O222" s="316"/>
      <c r="P222" s="290"/>
      <c r="Q222" s="316"/>
    </row>
    <row r="223" spans="1:17" s="82" customFormat="1" ht="24.95" customHeight="1">
      <c r="A223" s="284"/>
      <c r="B223" s="285"/>
      <c r="C223" s="285"/>
      <c r="D223" s="286"/>
      <c r="E223" s="509"/>
      <c r="F223" s="510"/>
      <c r="G223" s="510"/>
      <c r="H223" s="510"/>
      <c r="I223" s="510"/>
      <c r="J223" s="511" t="s">
        <v>960</v>
      </c>
      <c r="K223" s="511"/>
      <c r="L223" s="291">
        <f>ROUNDDOWN(5000*100*12/1000,0)</f>
        <v>6000</v>
      </c>
      <c r="M223" s="315">
        <f>+L223</f>
        <v>6000</v>
      </c>
      <c r="N223" s="316">
        <v>6000</v>
      </c>
      <c r="O223" s="316">
        <f>+M223-N223</f>
        <v>0</v>
      </c>
      <c r="P223" s="290"/>
      <c r="Q223" s="316"/>
    </row>
    <row r="224" spans="1:17" s="82" customFormat="1" ht="24.95" customHeight="1">
      <c r="A224" s="284"/>
      <c r="B224" s="285"/>
      <c r="C224" s="285"/>
      <c r="D224" s="286"/>
      <c r="E224" s="509" t="s">
        <v>961</v>
      </c>
      <c r="F224" s="510"/>
      <c r="G224" s="510"/>
      <c r="H224" s="510"/>
      <c r="I224" s="510"/>
      <c r="J224" s="511"/>
      <c r="K224" s="511"/>
      <c r="L224" s="291"/>
      <c r="M224" s="315"/>
      <c r="N224" s="316"/>
      <c r="O224" s="316"/>
      <c r="P224" s="290"/>
      <c r="Q224" s="316"/>
    </row>
    <row r="225" spans="1:17" s="82" customFormat="1" ht="24.95" customHeight="1">
      <c r="A225" s="284"/>
      <c r="B225" s="285"/>
      <c r="C225" s="285"/>
      <c r="D225" s="286"/>
      <c r="E225" s="509"/>
      <c r="F225" s="510"/>
      <c r="G225" s="510"/>
      <c r="H225" s="510"/>
      <c r="I225" s="510"/>
      <c r="J225" s="511" t="s">
        <v>962</v>
      </c>
      <c r="K225" s="511"/>
      <c r="L225" s="291">
        <f>ROUNDDOWN(6000*20*0.012,0)</f>
        <v>1440</v>
      </c>
      <c r="M225" s="315">
        <f>+L225</f>
        <v>1440</v>
      </c>
      <c r="N225" s="316">
        <v>1440</v>
      </c>
      <c r="O225" s="316">
        <f>+M225-N225</f>
        <v>0</v>
      </c>
      <c r="P225" s="290"/>
      <c r="Q225" s="316"/>
    </row>
    <row r="226" spans="1:17" s="82" customFormat="1" ht="24.95" customHeight="1">
      <c r="A226" s="284"/>
      <c r="B226" s="285"/>
      <c r="C226" s="285"/>
      <c r="D226" s="286"/>
      <c r="E226" s="508" t="s">
        <v>963</v>
      </c>
      <c r="F226" s="403"/>
      <c r="G226" s="403"/>
      <c r="H226" s="403"/>
      <c r="I226" s="403"/>
      <c r="J226" s="403"/>
      <c r="K226" s="287"/>
      <c r="L226" s="288">
        <f>+SUM(L227:L283)</f>
        <v>356801</v>
      </c>
      <c r="M226" s="288"/>
      <c r="N226" s="288"/>
      <c r="O226" s="288"/>
      <c r="P226" s="289"/>
      <c r="Q226" s="316"/>
    </row>
    <row r="227" spans="1:17" s="82" customFormat="1" ht="24.95" customHeight="1">
      <c r="A227" s="284"/>
      <c r="B227" s="285"/>
      <c r="C227" s="285"/>
      <c r="D227" s="304"/>
      <c r="E227" s="509" t="s">
        <v>900</v>
      </c>
      <c r="F227" s="510"/>
      <c r="G227" s="510"/>
      <c r="H227" s="510"/>
      <c r="I227" s="510"/>
      <c r="J227" s="511"/>
      <c r="K227" s="511"/>
      <c r="L227" s="291"/>
      <c r="M227" s="315"/>
      <c r="N227" s="316"/>
      <c r="O227" s="316"/>
      <c r="P227" s="290"/>
      <c r="Q227" s="316"/>
    </row>
    <row r="228" spans="1:17" s="82" customFormat="1" ht="24.95" customHeight="1">
      <c r="A228" s="284"/>
      <c r="B228" s="285"/>
      <c r="C228" s="285"/>
      <c r="D228" s="304"/>
      <c r="E228" s="294"/>
      <c r="F228" s="295"/>
      <c r="G228" s="510" t="s">
        <v>901</v>
      </c>
      <c r="H228" s="510"/>
      <c r="I228" s="510"/>
      <c r="J228" s="511"/>
      <c r="K228" s="511"/>
      <c r="L228" s="291"/>
      <c r="M228" s="315"/>
      <c r="N228" s="316"/>
      <c r="O228" s="316"/>
      <c r="P228" s="290"/>
      <c r="Q228" s="316"/>
    </row>
    <row r="229" spans="1:17" s="82" customFormat="1" ht="24.95" customHeight="1">
      <c r="A229" s="284"/>
      <c r="B229" s="285"/>
      <c r="C229" s="285"/>
      <c r="D229" s="304"/>
      <c r="E229" s="509" t="s">
        <v>1595</v>
      </c>
      <c r="F229" s="510"/>
      <c r="G229" s="510"/>
      <c r="H229" s="510"/>
      <c r="I229" s="510"/>
      <c r="J229" s="296"/>
      <c r="K229" s="296"/>
      <c r="L229" s="291"/>
      <c r="M229" s="315"/>
      <c r="N229" s="316"/>
      <c r="O229" s="316"/>
      <c r="P229" s="290"/>
      <c r="Q229" s="316"/>
    </row>
    <row r="230" spans="1:17" s="82" customFormat="1" ht="24.95" customHeight="1">
      <c r="A230" s="284"/>
      <c r="B230" s="285"/>
      <c r="C230" s="285"/>
      <c r="D230" s="304"/>
      <c r="E230" s="305"/>
      <c r="F230" s="298"/>
      <c r="G230" s="298"/>
      <c r="H230" s="298"/>
      <c r="I230" s="511" t="s">
        <v>1596</v>
      </c>
      <c r="J230" s="519"/>
      <c r="K230" s="519"/>
      <c r="L230" s="291">
        <f>ROUNDDOWN(670*3*2600*0.012,0)</f>
        <v>62712</v>
      </c>
      <c r="M230" s="315">
        <f>+L230</f>
        <v>62712</v>
      </c>
      <c r="N230" s="316">
        <v>64584</v>
      </c>
      <c r="O230" s="316">
        <f>+M230-N230</f>
        <v>-1872</v>
      </c>
      <c r="P230" s="290"/>
      <c r="Q230" s="316" t="s">
        <v>1597</v>
      </c>
    </row>
    <row r="231" spans="1:17" s="82" customFormat="1" ht="24.95" customHeight="1">
      <c r="A231" s="284"/>
      <c r="B231" s="285"/>
      <c r="C231" s="285"/>
      <c r="D231" s="304"/>
      <c r="E231" s="509" t="s">
        <v>1598</v>
      </c>
      <c r="F231" s="510"/>
      <c r="G231" s="510"/>
      <c r="H231" s="510"/>
      <c r="I231" s="510"/>
      <c r="J231" s="296"/>
      <c r="K231" s="296"/>
      <c r="L231" s="291"/>
      <c r="M231" s="315"/>
      <c r="N231" s="316"/>
      <c r="O231" s="316"/>
      <c r="P231" s="290"/>
      <c r="Q231" s="316"/>
    </row>
    <row r="232" spans="1:17" s="82" customFormat="1" ht="24.95" customHeight="1">
      <c r="A232" s="284"/>
      <c r="B232" s="285"/>
      <c r="C232" s="285"/>
      <c r="D232" s="304"/>
      <c r="E232" s="305"/>
      <c r="F232" s="298"/>
      <c r="G232" s="298"/>
      <c r="H232" s="298"/>
      <c r="I232" s="511" t="s">
        <v>1599</v>
      </c>
      <c r="J232" s="522"/>
      <c r="K232" s="522"/>
      <c r="L232" s="291">
        <f>ROUNDDOWN(10*3*2600*0.012*80%,0)</f>
        <v>748</v>
      </c>
      <c r="M232" s="315">
        <f>+L232</f>
        <v>748</v>
      </c>
      <c r="N232" s="316">
        <v>0</v>
      </c>
      <c r="O232" s="316">
        <f t="shared" ref="O232:O283" si="6">+M232-N232</f>
        <v>748</v>
      </c>
      <c r="P232" s="290"/>
      <c r="Q232" s="316"/>
    </row>
    <row r="233" spans="1:17" s="82" customFormat="1" ht="24.95" customHeight="1">
      <c r="A233" s="284"/>
      <c r="B233" s="285"/>
      <c r="C233" s="285"/>
      <c r="D233" s="304"/>
      <c r="E233" s="509" t="s">
        <v>1600</v>
      </c>
      <c r="F233" s="510"/>
      <c r="G233" s="510"/>
      <c r="H233" s="510"/>
      <c r="I233" s="510"/>
      <c r="J233" s="296"/>
      <c r="K233" s="296"/>
      <c r="L233" s="291"/>
      <c r="M233" s="315"/>
      <c r="N233" s="316"/>
      <c r="O233" s="316"/>
      <c r="P233" s="290"/>
      <c r="Q233" s="316"/>
    </row>
    <row r="234" spans="1:17" s="82" customFormat="1" ht="24.95" customHeight="1">
      <c r="A234" s="284"/>
      <c r="B234" s="285"/>
      <c r="C234" s="285"/>
      <c r="D234" s="304"/>
      <c r="E234" s="305"/>
      <c r="F234" s="298"/>
      <c r="G234" s="298"/>
      <c r="H234" s="298"/>
      <c r="I234" s="511" t="s">
        <v>1601</v>
      </c>
      <c r="J234" s="522"/>
      <c r="K234" s="522"/>
      <c r="L234" s="291">
        <f>ROUNDDOWN(570*3*2800*0.012,0)</f>
        <v>57456</v>
      </c>
      <c r="M234" s="315">
        <f>+L234</f>
        <v>57456</v>
      </c>
      <c r="N234" s="316">
        <v>59472</v>
      </c>
      <c r="O234" s="316">
        <f t="shared" si="6"/>
        <v>-2016</v>
      </c>
      <c r="P234" s="290"/>
      <c r="Q234" s="316" t="s">
        <v>1597</v>
      </c>
    </row>
    <row r="235" spans="1:17" s="82" customFormat="1" ht="24.95" customHeight="1">
      <c r="A235" s="284"/>
      <c r="B235" s="285"/>
      <c r="C235" s="285"/>
      <c r="D235" s="304"/>
      <c r="E235" s="509" t="s">
        <v>1602</v>
      </c>
      <c r="F235" s="510"/>
      <c r="G235" s="510"/>
      <c r="H235" s="510"/>
      <c r="I235" s="510"/>
      <c r="J235" s="296"/>
      <c r="K235" s="296"/>
      <c r="L235" s="291"/>
      <c r="M235" s="315"/>
      <c r="N235" s="316"/>
      <c r="O235" s="316"/>
      <c r="P235" s="290"/>
      <c r="Q235" s="316"/>
    </row>
    <row r="236" spans="1:17" s="82" customFormat="1" ht="24.95" customHeight="1">
      <c r="A236" s="284"/>
      <c r="B236" s="285"/>
      <c r="C236" s="285"/>
      <c r="D236" s="304"/>
      <c r="E236" s="305"/>
      <c r="F236" s="298"/>
      <c r="G236" s="298"/>
      <c r="H236" s="298"/>
      <c r="I236" s="511" t="s">
        <v>1603</v>
      </c>
      <c r="J236" s="522"/>
      <c r="K236" s="522"/>
      <c r="L236" s="291">
        <f>ROUNDDOWN(10*3*2800*0.012*80%,0)</f>
        <v>806</v>
      </c>
      <c r="M236" s="315">
        <f>+L236</f>
        <v>806</v>
      </c>
      <c r="N236" s="316">
        <v>0</v>
      </c>
      <c r="O236" s="316">
        <f t="shared" si="6"/>
        <v>806</v>
      </c>
      <c r="P236" s="290"/>
      <c r="Q236" s="316"/>
    </row>
    <row r="237" spans="1:17" s="82" customFormat="1" ht="24.95" customHeight="1">
      <c r="A237" s="284"/>
      <c r="B237" s="285"/>
      <c r="C237" s="285"/>
      <c r="D237" s="304"/>
      <c r="E237" s="292"/>
      <c r="F237" s="293"/>
      <c r="G237" s="510" t="s">
        <v>1604</v>
      </c>
      <c r="H237" s="510"/>
      <c r="I237" s="524"/>
      <c r="J237" s="298"/>
      <c r="K237" s="296"/>
      <c r="L237" s="291"/>
      <c r="M237" s="315"/>
      <c r="N237" s="316"/>
      <c r="O237" s="316"/>
      <c r="P237" s="290"/>
      <c r="Q237" s="316"/>
    </row>
    <row r="238" spans="1:17" s="82" customFormat="1" ht="24.95" customHeight="1">
      <c r="A238" s="284"/>
      <c r="B238" s="285"/>
      <c r="C238" s="285"/>
      <c r="D238" s="304"/>
      <c r="E238" s="509" t="s">
        <v>1605</v>
      </c>
      <c r="F238" s="510"/>
      <c r="G238" s="510"/>
      <c r="H238" s="510"/>
      <c r="I238" s="510"/>
      <c r="J238" s="293"/>
      <c r="K238" s="296"/>
      <c r="L238" s="291"/>
      <c r="M238" s="315"/>
      <c r="N238" s="316"/>
      <c r="O238" s="316"/>
      <c r="P238" s="290"/>
      <c r="Q238" s="316"/>
    </row>
    <row r="239" spans="1:17" s="82" customFormat="1" ht="24.95" customHeight="1">
      <c r="A239" s="284"/>
      <c r="B239" s="285"/>
      <c r="C239" s="285"/>
      <c r="D239" s="304"/>
      <c r="E239" s="305"/>
      <c r="F239" s="298"/>
      <c r="G239" s="298"/>
      <c r="H239" s="298"/>
      <c r="I239" s="511" t="s">
        <v>1606</v>
      </c>
      <c r="J239" s="522"/>
      <c r="K239" s="522"/>
      <c r="L239" s="291">
        <f>ROUNDDOWN(10*3*2600*0.012*50%,0)</f>
        <v>468</v>
      </c>
      <c r="M239" s="315">
        <f>+L239</f>
        <v>468</v>
      </c>
      <c r="N239" s="316">
        <v>0</v>
      </c>
      <c r="O239" s="316">
        <f t="shared" si="6"/>
        <v>468</v>
      </c>
      <c r="P239" s="290"/>
      <c r="Q239" s="316" t="s">
        <v>1607</v>
      </c>
    </row>
    <row r="240" spans="1:17" s="82" customFormat="1" ht="24.95" customHeight="1">
      <c r="A240" s="284"/>
      <c r="B240" s="285"/>
      <c r="C240" s="285"/>
      <c r="D240" s="304"/>
      <c r="E240" s="509" t="s">
        <v>1608</v>
      </c>
      <c r="F240" s="510"/>
      <c r="G240" s="510"/>
      <c r="H240" s="510"/>
      <c r="I240" s="510"/>
      <c r="J240" s="296"/>
      <c r="K240" s="296"/>
      <c r="L240" s="291"/>
      <c r="M240" s="315"/>
      <c r="N240" s="316"/>
      <c r="O240" s="316"/>
      <c r="P240" s="290"/>
      <c r="Q240" s="316"/>
    </row>
    <row r="241" spans="1:17" s="82" customFormat="1" ht="24.95" customHeight="1">
      <c r="A241" s="284"/>
      <c r="B241" s="285"/>
      <c r="C241" s="285"/>
      <c r="D241" s="304"/>
      <c r="E241" s="292"/>
      <c r="F241" s="298"/>
      <c r="G241" s="298"/>
      <c r="H241" s="298"/>
      <c r="I241" s="511" t="s">
        <v>1609</v>
      </c>
      <c r="J241" s="522"/>
      <c r="K241" s="522"/>
      <c r="L241" s="291">
        <f>ROUNDDOWN(10*3*2800*0.012*50%,0)</f>
        <v>504</v>
      </c>
      <c r="M241" s="315">
        <f>+L241</f>
        <v>504</v>
      </c>
      <c r="N241" s="316">
        <v>0</v>
      </c>
      <c r="O241" s="316">
        <f t="shared" si="6"/>
        <v>504</v>
      </c>
      <c r="P241" s="290"/>
      <c r="Q241" s="316" t="s">
        <v>1607</v>
      </c>
    </row>
    <row r="242" spans="1:17" s="82" customFormat="1" ht="24.95" customHeight="1">
      <c r="A242" s="284"/>
      <c r="B242" s="285"/>
      <c r="C242" s="285"/>
      <c r="D242" s="304"/>
      <c r="E242" s="292"/>
      <c r="F242" s="293"/>
      <c r="G242" s="510" t="s">
        <v>1482</v>
      </c>
      <c r="H242" s="523"/>
      <c r="I242" s="523"/>
      <c r="J242" s="296"/>
      <c r="K242" s="296"/>
      <c r="L242" s="291"/>
      <c r="M242" s="315"/>
      <c r="N242" s="316"/>
      <c r="O242" s="316"/>
      <c r="P242" s="290"/>
      <c r="Q242" s="316"/>
    </row>
    <row r="243" spans="1:17" s="82" customFormat="1" ht="24.95" customHeight="1">
      <c r="A243" s="284"/>
      <c r="B243" s="285"/>
      <c r="C243" s="285"/>
      <c r="D243" s="304"/>
      <c r="E243" s="509" t="s">
        <v>1595</v>
      </c>
      <c r="F243" s="510"/>
      <c r="G243" s="510"/>
      <c r="H243" s="510"/>
      <c r="I243" s="510"/>
      <c r="J243" s="296"/>
      <c r="K243" s="296"/>
      <c r="L243" s="291"/>
      <c r="M243" s="315"/>
      <c r="N243" s="316"/>
      <c r="O243" s="316"/>
      <c r="P243" s="290"/>
      <c r="Q243" s="316"/>
    </row>
    <row r="244" spans="1:17" s="82" customFormat="1" ht="24.95" customHeight="1">
      <c r="A244" s="284"/>
      <c r="B244" s="285"/>
      <c r="C244" s="285"/>
      <c r="D244" s="304"/>
      <c r="E244" s="305"/>
      <c r="F244" s="298"/>
      <c r="G244" s="298"/>
      <c r="H244" s="298"/>
      <c r="I244" s="511" t="s">
        <v>1610</v>
      </c>
      <c r="J244" s="519"/>
      <c r="K244" s="519"/>
      <c r="L244" s="291">
        <f>ROUNDDOWN(460*3*2000*0.012,0)</f>
        <v>33120</v>
      </c>
      <c r="M244" s="315">
        <f>+L244</f>
        <v>33120</v>
      </c>
      <c r="N244" s="316">
        <v>34560</v>
      </c>
      <c r="O244" s="316">
        <f t="shared" si="6"/>
        <v>-1440</v>
      </c>
      <c r="P244" s="290"/>
      <c r="Q244" s="316" t="s">
        <v>1479</v>
      </c>
    </row>
    <row r="245" spans="1:17" s="82" customFormat="1" ht="24.95" customHeight="1">
      <c r="A245" s="284"/>
      <c r="B245" s="285"/>
      <c r="C245" s="285"/>
      <c r="D245" s="304"/>
      <c r="E245" s="509" t="s">
        <v>1598</v>
      </c>
      <c r="F245" s="510"/>
      <c r="G245" s="510"/>
      <c r="H245" s="510"/>
      <c r="I245" s="510"/>
      <c r="J245" s="296"/>
      <c r="K245" s="296"/>
      <c r="L245" s="291"/>
      <c r="M245" s="315"/>
      <c r="N245" s="316"/>
      <c r="O245" s="316"/>
      <c r="P245" s="290"/>
      <c r="Q245" s="316"/>
    </row>
    <row r="246" spans="1:17" s="82" customFormat="1" ht="24.95" customHeight="1">
      <c r="A246" s="284"/>
      <c r="B246" s="285"/>
      <c r="C246" s="285"/>
      <c r="D246" s="304"/>
      <c r="E246" s="305"/>
      <c r="F246" s="298"/>
      <c r="G246" s="298"/>
      <c r="H246" s="298"/>
      <c r="I246" s="511" t="s">
        <v>1611</v>
      </c>
      <c r="J246" s="522"/>
      <c r="K246" s="522"/>
      <c r="L246" s="291">
        <f>ROUNDDOWN(20*3*2000*0.012*80%,0)</f>
        <v>1152</v>
      </c>
      <c r="M246" s="315">
        <f>+L246</f>
        <v>1152</v>
      </c>
      <c r="N246" s="316">
        <v>0</v>
      </c>
      <c r="O246" s="316">
        <f t="shared" si="6"/>
        <v>1152</v>
      </c>
      <c r="P246" s="290"/>
      <c r="Q246" s="316"/>
    </row>
    <row r="247" spans="1:17" s="82" customFormat="1" ht="24.95" customHeight="1">
      <c r="A247" s="284"/>
      <c r="B247" s="285"/>
      <c r="C247" s="285"/>
      <c r="D247" s="304"/>
      <c r="E247" s="509" t="s">
        <v>1600</v>
      </c>
      <c r="F247" s="510"/>
      <c r="G247" s="510"/>
      <c r="H247" s="510"/>
      <c r="I247" s="510"/>
      <c r="J247" s="296"/>
      <c r="K247" s="296"/>
      <c r="L247" s="291"/>
      <c r="M247" s="315"/>
      <c r="N247" s="316"/>
      <c r="O247" s="316"/>
      <c r="P247" s="290"/>
      <c r="Q247" s="316"/>
    </row>
    <row r="248" spans="1:17" s="82" customFormat="1" ht="24.95" customHeight="1">
      <c r="A248" s="284"/>
      <c r="B248" s="285"/>
      <c r="C248" s="285"/>
      <c r="D248" s="304"/>
      <c r="E248" s="305"/>
      <c r="F248" s="298"/>
      <c r="G248" s="298"/>
      <c r="H248" s="298"/>
      <c r="I248" s="511" t="s">
        <v>1612</v>
      </c>
      <c r="J248" s="519"/>
      <c r="K248" s="519"/>
      <c r="L248" s="291">
        <f>ROUNDDOWN(270*3*2200*0.012,0)</f>
        <v>21384</v>
      </c>
      <c r="M248" s="315">
        <f>+L248</f>
        <v>21384</v>
      </c>
      <c r="N248" s="316">
        <v>22968</v>
      </c>
      <c r="O248" s="316">
        <f t="shared" si="6"/>
        <v>-1584</v>
      </c>
      <c r="P248" s="290"/>
      <c r="Q248" s="316" t="s">
        <v>1479</v>
      </c>
    </row>
    <row r="249" spans="1:17" s="82" customFormat="1" ht="24.95" customHeight="1">
      <c r="A249" s="284"/>
      <c r="B249" s="285"/>
      <c r="C249" s="285"/>
      <c r="D249" s="304"/>
      <c r="E249" s="509" t="s">
        <v>1602</v>
      </c>
      <c r="F249" s="510"/>
      <c r="G249" s="510"/>
      <c r="H249" s="510"/>
      <c r="I249" s="510"/>
      <c r="J249" s="296"/>
      <c r="K249" s="296"/>
      <c r="L249" s="291"/>
      <c r="M249" s="315"/>
      <c r="N249" s="316"/>
      <c r="O249" s="316"/>
      <c r="P249" s="290"/>
      <c r="Q249" s="316"/>
    </row>
    <row r="250" spans="1:17" s="82" customFormat="1" ht="24.95" customHeight="1">
      <c r="A250" s="284"/>
      <c r="B250" s="285"/>
      <c r="C250" s="285"/>
      <c r="D250" s="304"/>
      <c r="E250" s="305"/>
      <c r="F250" s="298"/>
      <c r="G250" s="298"/>
      <c r="H250" s="298"/>
      <c r="I250" s="511" t="s">
        <v>1613</v>
      </c>
      <c r="J250" s="522"/>
      <c r="K250" s="522"/>
      <c r="L250" s="291">
        <f>ROUNDDOWN(20*3*2200*0.012*80%,0)</f>
        <v>1267</v>
      </c>
      <c r="M250" s="315">
        <f>+L250</f>
        <v>1267</v>
      </c>
      <c r="N250" s="316">
        <v>0</v>
      </c>
      <c r="O250" s="316">
        <f t="shared" si="6"/>
        <v>1267</v>
      </c>
      <c r="P250" s="290"/>
      <c r="Q250" s="316"/>
    </row>
    <row r="251" spans="1:17" s="82" customFormat="1" ht="24.95" customHeight="1">
      <c r="A251" s="284"/>
      <c r="B251" s="285"/>
      <c r="C251" s="285"/>
      <c r="D251" s="304"/>
      <c r="E251" s="292"/>
      <c r="F251" s="293"/>
      <c r="G251" s="510" t="s">
        <v>1499</v>
      </c>
      <c r="H251" s="523"/>
      <c r="I251" s="523"/>
      <c r="J251" s="511"/>
      <c r="K251" s="511"/>
      <c r="L251" s="291"/>
      <c r="M251" s="315"/>
      <c r="N251" s="316"/>
      <c r="O251" s="316"/>
      <c r="P251" s="290"/>
      <c r="Q251" s="316"/>
    </row>
    <row r="252" spans="1:17" s="82" customFormat="1" ht="24.95" customHeight="1">
      <c r="A252" s="284"/>
      <c r="B252" s="285"/>
      <c r="C252" s="285"/>
      <c r="D252" s="304"/>
      <c r="E252" s="509" t="s">
        <v>1595</v>
      </c>
      <c r="F252" s="510"/>
      <c r="G252" s="510"/>
      <c r="H252" s="510"/>
      <c r="I252" s="510"/>
      <c r="J252" s="296"/>
      <c r="K252" s="296"/>
      <c r="L252" s="291"/>
      <c r="M252" s="315"/>
      <c r="N252" s="316"/>
      <c r="O252" s="316"/>
      <c r="P252" s="290"/>
      <c r="Q252" s="316"/>
    </row>
    <row r="253" spans="1:17" s="82" customFormat="1" ht="24.95" customHeight="1">
      <c r="A253" s="284"/>
      <c r="B253" s="285"/>
      <c r="C253" s="285"/>
      <c r="D253" s="304"/>
      <c r="E253" s="305"/>
      <c r="F253" s="298"/>
      <c r="G253" s="298"/>
      <c r="H253" s="298"/>
      <c r="I253" s="511" t="s">
        <v>1614</v>
      </c>
      <c r="J253" s="519"/>
      <c r="K253" s="519"/>
      <c r="L253" s="291">
        <f>ROUNDDOWN(140*3*1900*0.012,0)</f>
        <v>9576</v>
      </c>
      <c r="M253" s="315">
        <f>+L253</f>
        <v>9576</v>
      </c>
      <c r="N253" s="316">
        <v>10260</v>
      </c>
      <c r="O253" s="316">
        <f t="shared" si="6"/>
        <v>-684</v>
      </c>
      <c r="P253" s="290"/>
      <c r="Q253" s="316" t="s">
        <v>1479</v>
      </c>
    </row>
    <row r="254" spans="1:17" s="82" customFormat="1" ht="24.95" customHeight="1">
      <c r="A254" s="284"/>
      <c r="B254" s="285"/>
      <c r="C254" s="285"/>
      <c r="D254" s="304"/>
      <c r="E254" s="509" t="s">
        <v>1598</v>
      </c>
      <c r="F254" s="510"/>
      <c r="G254" s="510"/>
      <c r="H254" s="510"/>
      <c r="I254" s="510"/>
      <c r="J254" s="296"/>
      <c r="K254" s="296"/>
      <c r="L254" s="291"/>
      <c r="M254" s="315"/>
      <c r="N254" s="316"/>
      <c r="O254" s="316"/>
      <c r="P254" s="290"/>
      <c r="Q254" s="316"/>
    </row>
    <row r="255" spans="1:17" s="82" customFormat="1" ht="24.95" customHeight="1">
      <c r="A255" s="284"/>
      <c r="B255" s="285"/>
      <c r="C255" s="285"/>
      <c r="D255" s="304"/>
      <c r="E255" s="305"/>
      <c r="F255" s="298"/>
      <c r="G255" s="298"/>
      <c r="H255" s="298"/>
      <c r="I255" s="511" t="s">
        <v>1615</v>
      </c>
      <c r="J255" s="522"/>
      <c r="K255" s="522"/>
      <c r="L255" s="291">
        <f>ROUNDDOWN(10*3*1900*0.012*80%,0)</f>
        <v>547</v>
      </c>
      <c r="M255" s="315">
        <f>+L255</f>
        <v>547</v>
      </c>
      <c r="N255" s="316">
        <v>0</v>
      </c>
      <c r="O255" s="316">
        <f t="shared" si="6"/>
        <v>547</v>
      </c>
      <c r="P255" s="290"/>
      <c r="Q255" s="316"/>
    </row>
    <row r="256" spans="1:17" s="82" customFormat="1" ht="24.95" customHeight="1">
      <c r="A256" s="284"/>
      <c r="B256" s="285"/>
      <c r="C256" s="285"/>
      <c r="D256" s="304"/>
      <c r="E256" s="509" t="s">
        <v>1600</v>
      </c>
      <c r="F256" s="510"/>
      <c r="G256" s="510"/>
      <c r="H256" s="510"/>
      <c r="I256" s="510"/>
      <c r="J256" s="296"/>
      <c r="K256" s="296"/>
      <c r="L256" s="291"/>
      <c r="M256" s="315"/>
      <c r="N256" s="316"/>
      <c r="O256" s="316"/>
      <c r="P256" s="290"/>
      <c r="Q256" s="316"/>
    </row>
    <row r="257" spans="1:17" s="82" customFormat="1" ht="24.95" customHeight="1">
      <c r="A257" s="284"/>
      <c r="B257" s="285"/>
      <c r="C257" s="285"/>
      <c r="D257" s="304"/>
      <c r="E257" s="305"/>
      <c r="F257" s="298"/>
      <c r="G257" s="298"/>
      <c r="H257" s="298"/>
      <c r="I257" s="511" t="s">
        <v>1616</v>
      </c>
      <c r="J257" s="519"/>
      <c r="K257" s="519"/>
      <c r="L257" s="291">
        <f>ROUNDDOWN(90*3*2100*0.012,0)</f>
        <v>6804</v>
      </c>
      <c r="M257" s="315">
        <f>+L257</f>
        <v>6804</v>
      </c>
      <c r="N257" s="316">
        <v>7560</v>
      </c>
      <c r="O257" s="316">
        <f t="shared" si="6"/>
        <v>-756</v>
      </c>
      <c r="P257" s="290"/>
      <c r="Q257" s="316" t="s">
        <v>1479</v>
      </c>
    </row>
    <row r="258" spans="1:17" s="82" customFormat="1" ht="24.95" customHeight="1">
      <c r="A258" s="284"/>
      <c r="B258" s="285"/>
      <c r="C258" s="285"/>
      <c r="D258" s="304"/>
      <c r="E258" s="509" t="s">
        <v>1602</v>
      </c>
      <c r="F258" s="510"/>
      <c r="G258" s="510"/>
      <c r="H258" s="510"/>
      <c r="I258" s="510"/>
      <c r="J258" s="296"/>
      <c r="K258" s="296"/>
      <c r="L258" s="291"/>
      <c r="M258" s="315"/>
      <c r="N258" s="316"/>
      <c r="O258" s="316"/>
      <c r="P258" s="290"/>
      <c r="Q258" s="316"/>
    </row>
    <row r="259" spans="1:17" s="82" customFormat="1" ht="24.95" customHeight="1">
      <c r="A259" s="284"/>
      <c r="B259" s="285"/>
      <c r="C259" s="285"/>
      <c r="D259" s="304"/>
      <c r="E259" s="305"/>
      <c r="F259" s="298"/>
      <c r="G259" s="298"/>
      <c r="H259" s="298"/>
      <c r="I259" s="511" t="s">
        <v>1617</v>
      </c>
      <c r="J259" s="522"/>
      <c r="K259" s="522"/>
      <c r="L259" s="291">
        <f>ROUNDDOWN(10*3*2100*0.012*80%,0)</f>
        <v>604</v>
      </c>
      <c r="M259" s="315">
        <f>+L259</f>
        <v>604</v>
      </c>
      <c r="N259" s="316">
        <v>0</v>
      </c>
      <c r="O259" s="316">
        <f t="shared" si="6"/>
        <v>604</v>
      </c>
      <c r="P259" s="290"/>
      <c r="Q259" s="316"/>
    </row>
    <row r="260" spans="1:17" s="82" customFormat="1" ht="24.95" customHeight="1">
      <c r="A260" s="284"/>
      <c r="B260" s="285"/>
      <c r="C260" s="285"/>
      <c r="D260" s="304"/>
      <c r="E260" s="509" t="s">
        <v>964</v>
      </c>
      <c r="F260" s="510"/>
      <c r="G260" s="510"/>
      <c r="H260" s="510"/>
      <c r="I260" s="510"/>
      <c r="J260" s="511"/>
      <c r="K260" s="511"/>
      <c r="L260" s="291"/>
      <c r="M260" s="315"/>
      <c r="N260" s="316"/>
      <c r="O260" s="316"/>
      <c r="P260" s="290"/>
      <c r="Q260" s="316"/>
    </row>
    <row r="261" spans="1:17" s="82" customFormat="1" ht="24.95" customHeight="1">
      <c r="A261" s="284"/>
      <c r="B261" s="285"/>
      <c r="C261" s="285"/>
      <c r="D261" s="304"/>
      <c r="E261" s="292"/>
      <c r="F261" s="293"/>
      <c r="G261" s="510" t="s">
        <v>1618</v>
      </c>
      <c r="H261" s="510"/>
      <c r="I261" s="510"/>
      <c r="J261" s="296"/>
      <c r="K261" s="296"/>
      <c r="L261" s="291"/>
      <c r="M261" s="315"/>
      <c r="N261" s="316"/>
      <c r="O261" s="316"/>
      <c r="P261" s="290"/>
      <c r="Q261" s="316"/>
    </row>
    <row r="262" spans="1:17" s="82" customFormat="1" ht="24.95" customHeight="1">
      <c r="A262" s="284"/>
      <c r="B262" s="285"/>
      <c r="C262" s="285"/>
      <c r="D262" s="304"/>
      <c r="E262" s="516" t="s">
        <v>965</v>
      </c>
      <c r="F262" s="511"/>
      <c r="G262" s="511"/>
      <c r="H262" s="511"/>
      <c r="I262" s="511"/>
      <c r="J262" s="511"/>
      <c r="K262" s="511"/>
      <c r="L262" s="291">
        <f>ROUNDDOWN(350*3.5*1664*0.012,0)</f>
        <v>24460</v>
      </c>
      <c r="M262" s="315">
        <f>+L262</f>
        <v>24460</v>
      </c>
      <c r="N262" s="316">
        <v>24460</v>
      </c>
      <c r="O262" s="316">
        <f t="shared" si="6"/>
        <v>0</v>
      </c>
      <c r="P262" s="290"/>
      <c r="Q262" s="316"/>
    </row>
    <row r="263" spans="1:17" s="82" customFormat="1" ht="24.95" customHeight="1">
      <c r="A263" s="284"/>
      <c r="B263" s="285"/>
      <c r="C263" s="285"/>
      <c r="D263" s="304"/>
      <c r="E263" s="292"/>
      <c r="F263" s="293"/>
      <c r="G263" s="510" t="s">
        <v>1619</v>
      </c>
      <c r="H263" s="510"/>
      <c r="I263" s="510"/>
      <c r="J263" s="296"/>
      <c r="K263" s="296"/>
      <c r="L263" s="291"/>
      <c r="M263" s="315"/>
      <c r="N263" s="316"/>
      <c r="O263" s="316"/>
      <c r="P263" s="290"/>
      <c r="Q263" s="316"/>
    </row>
    <row r="264" spans="1:17" s="82" customFormat="1" ht="24.95" customHeight="1">
      <c r="A264" s="284"/>
      <c r="B264" s="285"/>
      <c r="C264" s="285"/>
      <c r="D264" s="304"/>
      <c r="E264" s="509" t="s">
        <v>1595</v>
      </c>
      <c r="F264" s="510"/>
      <c r="G264" s="510"/>
      <c r="H264" s="510"/>
      <c r="I264" s="510"/>
      <c r="J264" s="511"/>
      <c r="K264" s="511"/>
      <c r="L264" s="291"/>
      <c r="M264" s="315"/>
      <c r="N264" s="316"/>
      <c r="O264" s="316"/>
      <c r="P264" s="290"/>
      <c r="Q264" s="316"/>
    </row>
    <row r="265" spans="1:17" s="82" customFormat="1" ht="24.95" customHeight="1">
      <c r="A265" s="284"/>
      <c r="B265" s="285"/>
      <c r="C265" s="285"/>
      <c r="D265" s="304"/>
      <c r="E265" s="516" t="s">
        <v>966</v>
      </c>
      <c r="F265" s="511"/>
      <c r="G265" s="511"/>
      <c r="H265" s="511"/>
      <c r="I265" s="511"/>
      <c r="J265" s="511"/>
      <c r="K265" s="511"/>
      <c r="L265" s="291">
        <f>ROUNDDOWN(320*3.5*2222*0.012,0)</f>
        <v>29863</v>
      </c>
      <c r="M265" s="315">
        <f>+L265</f>
        <v>29863</v>
      </c>
      <c r="N265" s="316">
        <v>29863</v>
      </c>
      <c r="O265" s="316">
        <f t="shared" si="6"/>
        <v>0</v>
      </c>
      <c r="P265" s="290"/>
      <c r="Q265" s="316"/>
    </row>
    <row r="266" spans="1:17" s="82" customFormat="1" ht="24.95" customHeight="1">
      <c r="A266" s="284"/>
      <c r="B266" s="285"/>
      <c r="C266" s="285"/>
      <c r="D266" s="304"/>
      <c r="E266" s="509" t="s">
        <v>1600</v>
      </c>
      <c r="F266" s="510"/>
      <c r="G266" s="510"/>
      <c r="H266" s="510"/>
      <c r="I266" s="510"/>
      <c r="J266" s="511"/>
      <c r="K266" s="511"/>
      <c r="L266" s="291"/>
      <c r="M266" s="315"/>
      <c r="N266" s="316"/>
      <c r="O266" s="316"/>
      <c r="P266" s="290"/>
      <c r="Q266" s="316"/>
    </row>
    <row r="267" spans="1:17" s="82" customFormat="1" ht="24.95" customHeight="1">
      <c r="A267" s="284"/>
      <c r="B267" s="285"/>
      <c r="C267" s="285"/>
      <c r="D267" s="304"/>
      <c r="E267" s="516" t="s">
        <v>967</v>
      </c>
      <c r="F267" s="511"/>
      <c r="G267" s="511"/>
      <c r="H267" s="511"/>
      <c r="I267" s="511"/>
      <c r="J267" s="511"/>
      <c r="K267" s="511"/>
      <c r="L267" s="291">
        <f>ROUNDDOWN(300*3.5*2222*0.012,0)</f>
        <v>27997</v>
      </c>
      <c r="M267" s="315">
        <f>+L267</f>
        <v>27997</v>
      </c>
      <c r="N267" s="316">
        <v>27997</v>
      </c>
      <c r="O267" s="316">
        <f t="shared" si="6"/>
        <v>0</v>
      </c>
      <c r="P267" s="290"/>
      <c r="Q267" s="316"/>
    </row>
    <row r="268" spans="1:17" s="82" customFormat="1" ht="24.95" customHeight="1">
      <c r="A268" s="284"/>
      <c r="B268" s="285"/>
      <c r="C268" s="285"/>
      <c r="D268" s="304"/>
      <c r="E268" s="509" t="s">
        <v>968</v>
      </c>
      <c r="F268" s="510"/>
      <c r="G268" s="510"/>
      <c r="H268" s="510"/>
      <c r="I268" s="510"/>
      <c r="J268" s="511"/>
      <c r="K268" s="511"/>
      <c r="L268" s="291"/>
      <c r="M268" s="315"/>
      <c r="N268" s="316"/>
      <c r="O268" s="316"/>
      <c r="P268" s="290"/>
      <c r="Q268" s="316"/>
    </row>
    <row r="269" spans="1:17" s="82" customFormat="1" ht="24.95" customHeight="1">
      <c r="A269" s="284"/>
      <c r="B269" s="285"/>
      <c r="C269" s="285"/>
      <c r="D269" s="304"/>
      <c r="E269" s="516" t="s">
        <v>969</v>
      </c>
      <c r="F269" s="511"/>
      <c r="G269" s="511"/>
      <c r="H269" s="511"/>
      <c r="I269" s="511"/>
      <c r="J269" s="511"/>
      <c r="K269" s="511"/>
      <c r="L269" s="291">
        <f>ROUNDDOWN(2700*1000*0.012,0)</f>
        <v>32400</v>
      </c>
      <c r="M269" s="315">
        <f>+L269</f>
        <v>32400</v>
      </c>
      <c r="N269" s="316">
        <v>32400</v>
      </c>
      <c r="O269" s="316">
        <f t="shared" si="6"/>
        <v>0</v>
      </c>
      <c r="P269" s="290"/>
      <c r="Q269" s="316"/>
    </row>
    <row r="270" spans="1:17" s="82" customFormat="1" ht="24.95" customHeight="1">
      <c r="A270" s="284"/>
      <c r="B270" s="285"/>
      <c r="C270" s="285"/>
      <c r="D270" s="304"/>
      <c r="E270" s="509" t="s">
        <v>970</v>
      </c>
      <c r="F270" s="510"/>
      <c r="G270" s="510"/>
      <c r="H270" s="510"/>
      <c r="I270" s="510"/>
      <c r="J270" s="511"/>
      <c r="K270" s="511"/>
      <c r="L270" s="291"/>
      <c r="M270" s="315"/>
      <c r="N270" s="316"/>
      <c r="O270" s="316"/>
      <c r="P270" s="290"/>
      <c r="Q270" s="316"/>
    </row>
    <row r="271" spans="1:17" s="82" customFormat="1" ht="24.95" customHeight="1">
      <c r="A271" s="284"/>
      <c r="B271" s="285"/>
      <c r="C271" s="285"/>
      <c r="D271" s="304"/>
      <c r="E271" s="292"/>
      <c r="F271" s="293"/>
      <c r="G271" s="510" t="s">
        <v>1620</v>
      </c>
      <c r="H271" s="510"/>
      <c r="I271" s="510"/>
      <c r="J271" s="296"/>
      <c r="K271" s="296"/>
      <c r="L271" s="291"/>
      <c r="M271" s="315"/>
      <c r="N271" s="316"/>
      <c r="O271" s="316"/>
      <c r="P271" s="290"/>
      <c r="Q271" s="316"/>
    </row>
    <row r="272" spans="1:17" s="82" customFormat="1" ht="24.95" customHeight="1">
      <c r="A272" s="284"/>
      <c r="B272" s="285"/>
      <c r="C272" s="285"/>
      <c r="D272" s="304"/>
      <c r="E272" s="509" t="s">
        <v>1572</v>
      </c>
      <c r="F272" s="510"/>
      <c r="G272" s="510"/>
      <c r="H272" s="510"/>
      <c r="I272" s="510"/>
      <c r="J272" s="296"/>
      <c r="K272" s="296"/>
      <c r="L272" s="291"/>
      <c r="M272" s="315"/>
      <c r="N272" s="316"/>
      <c r="O272" s="316"/>
      <c r="P272" s="290"/>
      <c r="Q272" s="316"/>
    </row>
    <row r="273" spans="1:17" s="82" customFormat="1" ht="24.95" customHeight="1">
      <c r="A273" s="284"/>
      <c r="B273" s="285"/>
      <c r="C273" s="285"/>
      <c r="D273" s="304"/>
      <c r="E273" s="305"/>
      <c r="F273" s="298"/>
      <c r="G273" s="298"/>
      <c r="H273" s="298"/>
      <c r="I273" s="298"/>
      <c r="J273" s="511" t="s">
        <v>1621</v>
      </c>
      <c r="K273" s="511"/>
      <c r="L273" s="291">
        <f>ROUNDDOWN(39000*5*3*0.012,0)</f>
        <v>7020</v>
      </c>
      <c r="M273" s="315">
        <f>+L273</f>
        <v>7020</v>
      </c>
      <c r="N273" s="316">
        <v>16380</v>
      </c>
      <c r="O273" s="316">
        <f t="shared" si="6"/>
        <v>-9360</v>
      </c>
      <c r="P273" s="290"/>
      <c r="Q273" s="316" t="s">
        <v>1479</v>
      </c>
    </row>
    <row r="274" spans="1:17" s="82" customFormat="1" ht="24.95" customHeight="1">
      <c r="A274" s="284"/>
      <c r="B274" s="285"/>
      <c r="C274" s="285"/>
      <c r="D274" s="304"/>
      <c r="E274" s="509" t="s">
        <v>1622</v>
      </c>
      <c r="F274" s="510"/>
      <c r="G274" s="510"/>
      <c r="H274" s="510"/>
      <c r="I274" s="510"/>
      <c r="J274" s="296"/>
      <c r="K274" s="296"/>
      <c r="L274" s="291"/>
      <c r="M274" s="315"/>
      <c r="N274" s="316"/>
      <c r="O274" s="316"/>
      <c r="P274" s="290"/>
      <c r="Q274" s="316"/>
    </row>
    <row r="275" spans="1:17" s="82" customFormat="1" ht="24.95" customHeight="1">
      <c r="A275" s="284"/>
      <c r="B275" s="285"/>
      <c r="C275" s="285"/>
      <c r="D275" s="304"/>
      <c r="E275" s="305"/>
      <c r="F275" s="298"/>
      <c r="G275" s="298"/>
      <c r="H275" s="298"/>
      <c r="I275" s="511" t="s">
        <v>1623</v>
      </c>
      <c r="J275" s="522"/>
      <c r="K275" s="522"/>
      <c r="L275" s="291">
        <f>ROUNDDOWN(39000*2*3*0.012*80%,0)</f>
        <v>2246</v>
      </c>
      <c r="M275" s="315">
        <f>+L275</f>
        <v>2246</v>
      </c>
      <c r="N275" s="316">
        <v>0</v>
      </c>
      <c r="O275" s="316">
        <f t="shared" si="6"/>
        <v>2246</v>
      </c>
      <c r="P275" s="290"/>
      <c r="Q275" s="316"/>
    </row>
    <row r="276" spans="1:17" s="82" customFormat="1" ht="24.95" customHeight="1">
      <c r="A276" s="284"/>
      <c r="B276" s="285"/>
      <c r="C276" s="285"/>
      <c r="D276" s="304"/>
      <c r="E276" s="509" t="s">
        <v>1624</v>
      </c>
      <c r="F276" s="510"/>
      <c r="G276" s="510"/>
      <c r="H276" s="510"/>
      <c r="I276" s="510"/>
      <c r="J276" s="296"/>
      <c r="K276" s="296"/>
      <c r="L276" s="291"/>
      <c r="M276" s="315"/>
      <c r="N276" s="316"/>
      <c r="O276" s="316"/>
      <c r="P276" s="290"/>
      <c r="Q276" s="316"/>
    </row>
    <row r="277" spans="1:17" s="82" customFormat="1" ht="24.95" customHeight="1">
      <c r="A277" s="284"/>
      <c r="B277" s="285"/>
      <c r="C277" s="285"/>
      <c r="D277" s="304"/>
      <c r="E277" s="305"/>
      <c r="F277" s="298"/>
      <c r="G277" s="298"/>
      <c r="H277" s="298"/>
      <c r="I277" s="298"/>
      <c r="J277" s="511" t="s">
        <v>1625</v>
      </c>
      <c r="K277" s="511"/>
      <c r="L277" s="291">
        <f>ROUNDDOWN(26000*5*3*0.012,0)</f>
        <v>4680</v>
      </c>
      <c r="M277" s="315">
        <f>+L277</f>
        <v>4680</v>
      </c>
      <c r="N277" s="316">
        <v>0</v>
      </c>
      <c r="O277" s="316">
        <f t="shared" si="6"/>
        <v>4680</v>
      </c>
      <c r="P277" s="290"/>
      <c r="Q277" s="316" t="s">
        <v>1510</v>
      </c>
    </row>
    <row r="278" spans="1:17" s="82" customFormat="1" ht="24.95" customHeight="1">
      <c r="A278" s="284"/>
      <c r="B278" s="285"/>
      <c r="C278" s="285"/>
      <c r="D278" s="304"/>
      <c r="E278" s="509" t="s">
        <v>1626</v>
      </c>
      <c r="F278" s="510"/>
      <c r="G278" s="510"/>
      <c r="H278" s="510"/>
      <c r="I278" s="510"/>
      <c r="J278" s="296"/>
      <c r="K278" s="296"/>
      <c r="L278" s="291"/>
      <c r="M278" s="315"/>
      <c r="N278" s="316"/>
      <c r="O278" s="316"/>
      <c r="P278" s="290"/>
      <c r="Q278" s="316"/>
    </row>
    <row r="279" spans="1:17" s="82" customFormat="1" ht="24.95" customHeight="1">
      <c r="A279" s="284"/>
      <c r="B279" s="285"/>
      <c r="C279" s="285"/>
      <c r="D279" s="304"/>
      <c r="E279" s="305"/>
      <c r="F279" s="298"/>
      <c r="G279" s="298"/>
      <c r="H279" s="298"/>
      <c r="I279" s="511" t="s">
        <v>1627</v>
      </c>
      <c r="J279" s="522"/>
      <c r="K279" s="522"/>
      <c r="L279" s="291">
        <f>ROUNDDOWN(26000*2*3*0.012*80%,0)</f>
        <v>1497</v>
      </c>
      <c r="M279" s="315">
        <f>+L279</f>
        <v>1497</v>
      </c>
      <c r="N279" s="316">
        <v>0</v>
      </c>
      <c r="O279" s="316">
        <f t="shared" si="6"/>
        <v>1497</v>
      </c>
      <c r="P279" s="290"/>
      <c r="Q279" s="316"/>
    </row>
    <row r="280" spans="1:17" s="82" customFormat="1" ht="24.95" customHeight="1">
      <c r="A280" s="284"/>
      <c r="B280" s="285"/>
      <c r="C280" s="285"/>
      <c r="D280" s="304"/>
      <c r="E280" s="292"/>
      <c r="F280" s="293"/>
      <c r="G280" s="510" t="s">
        <v>971</v>
      </c>
      <c r="H280" s="510"/>
      <c r="I280" s="510"/>
      <c r="J280" s="296"/>
      <c r="K280" s="296"/>
      <c r="L280" s="291"/>
      <c r="M280" s="315"/>
      <c r="N280" s="316"/>
      <c r="O280" s="316"/>
      <c r="P280" s="290"/>
      <c r="Q280" s="316"/>
    </row>
    <row r="281" spans="1:17" s="82" customFormat="1" ht="24.95" customHeight="1">
      <c r="A281" s="284"/>
      <c r="B281" s="285"/>
      <c r="C281" s="285"/>
      <c r="D281" s="304"/>
      <c r="E281" s="516" t="s">
        <v>972</v>
      </c>
      <c r="F281" s="511"/>
      <c r="G281" s="511"/>
      <c r="H281" s="511"/>
      <c r="I281" s="511"/>
      <c r="J281" s="511"/>
      <c r="K281" s="511"/>
      <c r="L281" s="291">
        <f>ROUNDDOWN(((37500*12)+(41250*12))*2/1000,0)</f>
        <v>1890</v>
      </c>
      <c r="M281" s="315">
        <f>+L281</f>
        <v>1890</v>
      </c>
      <c r="N281" s="316">
        <v>1890</v>
      </c>
      <c r="O281" s="316">
        <f t="shared" si="6"/>
        <v>0</v>
      </c>
      <c r="P281" s="290"/>
      <c r="Q281" s="316"/>
    </row>
    <row r="282" spans="1:17" s="82" customFormat="1" ht="24.95" customHeight="1">
      <c r="A282" s="284"/>
      <c r="B282" s="285"/>
      <c r="C282" s="285"/>
      <c r="D282" s="304"/>
      <c r="E282" s="509" t="s">
        <v>973</v>
      </c>
      <c r="F282" s="510"/>
      <c r="G282" s="510"/>
      <c r="H282" s="510"/>
      <c r="I282" s="510"/>
      <c r="J282" s="511"/>
      <c r="K282" s="511"/>
      <c r="L282" s="291"/>
      <c r="M282" s="315"/>
      <c r="N282" s="316"/>
      <c r="O282" s="316"/>
      <c r="P282" s="290"/>
      <c r="Q282" s="316"/>
    </row>
    <row r="283" spans="1:17" s="82" customFormat="1" ht="24.95" customHeight="1">
      <c r="A283" s="284"/>
      <c r="B283" s="285"/>
      <c r="C283" s="285"/>
      <c r="D283" s="304"/>
      <c r="E283" s="509"/>
      <c r="F283" s="510"/>
      <c r="G283" s="510"/>
      <c r="H283" s="510"/>
      <c r="I283" s="510"/>
      <c r="J283" s="511" t="s">
        <v>1979</v>
      </c>
      <c r="K283" s="511"/>
      <c r="L283" s="291">
        <f>ROUNDDOWN(2300000*0.012,0)</f>
        <v>27600</v>
      </c>
      <c r="M283" s="315">
        <f>+L283</f>
        <v>27600</v>
      </c>
      <c r="N283" s="316">
        <v>30000</v>
      </c>
      <c r="O283" s="316">
        <f t="shared" si="6"/>
        <v>-2400</v>
      </c>
      <c r="P283" s="290"/>
      <c r="Q283" s="316"/>
    </row>
    <row r="284" spans="1:17" s="82" customFormat="1" ht="24.95" customHeight="1">
      <c r="A284" s="284"/>
      <c r="B284" s="285"/>
      <c r="C284" s="285"/>
      <c r="D284" s="286"/>
      <c r="E284" s="508" t="s">
        <v>975</v>
      </c>
      <c r="F284" s="403"/>
      <c r="G284" s="403"/>
      <c r="H284" s="403"/>
      <c r="I284" s="403"/>
      <c r="J284" s="403"/>
      <c r="K284" s="287"/>
      <c r="L284" s="288">
        <f>+SUM(L285:L319)</f>
        <v>160506</v>
      </c>
      <c r="M284" s="288"/>
      <c r="N284" s="288"/>
      <c r="O284" s="288"/>
      <c r="P284" s="289"/>
      <c r="Q284" s="316"/>
    </row>
    <row r="285" spans="1:17" s="82" customFormat="1" ht="24.95" customHeight="1">
      <c r="A285" s="284"/>
      <c r="B285" s="285"/>
      <c r="C285" s="285"/>
      <c r="D285" s="304"/>
      <c r="E285" s="509" t="s">
        <v>974</v>
      </c>
      <c r="F285" s="510"/>
      <c r="G285" s="510"/>
      <c r="H285" s="510"/>
      <c r="I285" s="510"/>
      <c r="J285" s="511"/>
      <c r="K285" s="511"/>
      <c r="L285" s="291"/>
      <c r="M285" s="315"/>
      <c r="N285" s="316"/>
      <c r="O285" s="316"/>
      <c r="P285" s="290"/>
      <c r="Q285" s="316"/>
    </row>
    <row r="286" spans="1:17" s="82" customFormat="1" ht="24.95" customHeight="1">
      <c r="A286" s="284"/>
      <c r="B286" s="285"/>
      <c r="C286" s="285"/>
      <c r="D286" s="304"/>
      <c r="E286" s="294" t="s">
        <v>1628</v>
      </c>
      <c r="F286" s="295"/>
      <c r="G286" s="510" t="s">
        <v>1629</v>
      </c>
      <c r="H286" s="510"/>
      <c r="I286" s="510"/>
      <c r="J286" s="296"/>
      <c r="K286" s="296"/>
      <c r="L286" s="291"/>
      <c r="M286" s="315"/>
      <c r="N286" s="316"/>
      <c r="O286" s="316"/>
      <c r="P286" s="290"/>
      <c r="Q286" s="316"/>
    </row>
    <row r="287" spans="1:17" s="82" customFormat="1" ht="24.95" customHeight="1">
      <c r="A287" s="284"/>
      <c r="B287" s="285"/>
      <c r="C287" s="285"/>
      <c r="D287" s="304"/>
      <c r="E287" s="305"/>
      <c r="F287" s="298"/>
      <c r="G287" s="298"/>
      <c r="H287" s="298"/>
      <c r="I287" s="298"/>
      <c r="J287" s="511" t="s">
        <v>1630</v>
      </c>
      <c r="K287" s="511"/>
      <c r="L287" s="291">
        <f>ROUNDDOWN(100000*73*0.012,0)</f>
        <v>87600</v>
      </c>
      <c r="M287" s="315">
        <f>+L287</f>
        <v>87600</v>
      </c>
      <c r="N287" s="316">
        <v>114000</v>
      </c>
      <c r="O287" s="316">
        <f t="shared" ref="O287:O319" si="7">+M287-N287</f>
        <v>-26400</v>
      </c>
      <c r="P287" s="290"/>
      <c r="Q287" s="316" t="s">
        <v>1631</v>
      </c>
    </row>
    <row r="288" spans="1:17" s="82" customFormat="1" ht="24.95" customHeight="1">
      <c r="A288" s="284"/>
      <c r="B288" s="285"/>
      <c r="C288" s="285"/>
      <c r="D288" s="304"/>
      <c r="E288" s="294" t="s">
        <v>1632</v>
      </c>
      <c r="F288" s="295"/>
      <c r="G288" s="510" t="s">
        <v>1633</v>
      </c>
      <c r="H288" s="510"/>
      <c r="I288" s="510"/>
      <c r="J288" s="296"/>
      <c r="K288" s="296"/>
      <c r="L288" s="291"/>
      <c r="M288" s="315"/>
      <c r="N288" s="316"/>
      <c r="O288" s="316"/>
      <c r="P288" s="290"/>
      <c r="Q288" s="316"/>
    </row>
    <row r="289" spans="1:17" s="82" customFormat="1" ht="24.95" customHeight="1">
      <c r="A289" s="284"/>
      <c r="B289" s="285"/>
      <c r="C289" s="285"/>
      <c r="D289" s="304"/>
      <c r="E289" s="305"/>
      <c r="F289" s="298"/>
      <c r="G289" s="298"/>
      <c r="H289" s="298"/>
      <c r="I289" s="298"/>
      <c r="J289" s="511" t="s">
        <v>1634</v>
      </c>
      <c r="K289" s="511"/>
      <c r="L289" s="291">
        <f>ROUNDDOWN(100000*3*0.012*80%,0)</f>
        <v>2880</v>
      </c>
      <c r="M289" s="315">
        <f>+L289</f>
        <v>2880</v>
      </c>
      <c r="N289" s="316">
        <v>0</v>
      </c>
      <c r="O289" s="316">
        <f t="shared" si="7"/>
        <v>2880</v>
      </c>
      <c r="P289" s="290"/>
      <c r="Q289" s="316"/>
    </row>
    <row r="290" spans="1:17" s="82" customFormat="1" ht="24.95" customHeight="1">
      <c r="A290" s="284"/>
      <c r="B290" s="285"/>
      <c r="C290" s="285"/>
      <c r="D290" s="304"/>
      <c r="E290" s="294" t="s">
        <v>1632</v>
      </c>
      <c r="F290" s="295"/>
      <c r="G290" s="510" t="s">
        <v>1635</v>
      </c>
      <c r="H290" s="510"/>
      <c r="I290" s="510"/>
      <c r="J290" s="296"/>
      <c r="K290" s="296"/>
      <c r="L290" s="291"/>
      <c r="M290" s="315"/>
      <c r="N290" s="316"/>
      <c r="O290" s="316"/>
      <c r="P290" s="290"/>
      <c r="Q290" s="316"/>
    </row>
    <row r="291" spans="1:17" s="82" customFormat="1" ht="24.95" customHeight="1">
      <c r="A291" s="284"/>
      <c r="B291" s="285"/>
      <c r="C291" s="285"/>
      <c r="D291" s="304"/>
      <c r="E291" s="305"/>
      <c r="F291" s="298"/>
      <c r="G291" s="298"/>
      <c r="H291" s="298"/>
      <c r="I291" s="298"/>
      <c r="J291" s="511" t="s">
        <v>1636</v>
      </c>
      <c r="K291" s="511"/>
      <c r="L291" s="291">
        <f>ROUNDDOWN(100000*3*0.012*50%,0)</f>
        <v>1800</v>
      </c>
      <c r="M291" s="315">
        <f>+L291</f>
        <v>1800</v>
      </c>
      <c r="N291" s="316">
        <v>0</v>
      </c>
      <c r="O291" s="316">
        <f t="shared" si="7"/>
        <v>1800</v>
      </c>
      <c r="P291" s="290"/>
      <c r="Q291" s="316"/>
    </row>
    <row r="292" spans="1:17" s="82" customFormat="1" ht="24.95" customHeight="1">
      <c r="A292" s="284"/>
      <c r="B292" s="285"/>
      <c r="C292" s="285"/>
      <c r="D292" s="304"/>
      <c r="E292" s="294" t="s">
        <v>1628</v>
      </c>
      <c r="F292" s="295"/>
      <c r="G292" s="510" t="s">
        <v>1637</v>
      </c>
      <c r="H292" s="510"/>
      <c r="I292" s="510"/>
      <c r="J292" s="296"/>
      <c r="K292" s="296"/>
      <c r="L292" s="291"/>
      <c r="M292" s="315"/>
      <c r="N292" s="316"/>
      <c r="O292" s="316"/>
      <c r="P292" s="290"/>
      <c r="Q292" s="316"/>
    </row>
    <row r="293" spans="1:17" s="82" customFormat="1" ht="24.95" customHeight="1">
      <c r="A293" s="284"/>
      <c r="B293" s="285"/>
      <c r="C293" s="285"/>
      <c r="D293" s="304"/>
      <c r="E293" s="305"/>
      <c r="F293" s="298"/>
      <c r="G293" s="298"/>
      <c r="H293" s="298"/>
      <c r="I293" s="298"/>
      <c r="J293" s="511" t="s">
        <v>1638</v>
      </c>
      <c r="K293" s="511"/>
      <c r="L293" s="291">
        <f>ROUNDDOWN(50000*20*0.012,0)</f>
        <v>12000</v>
      </c>
      <c r="M293" s="315">
        <f>+L293</f>
        <v>12000</v>
      </c>
      <c r="N293" s="316">
        <v>0</v>
      </c>
      <c r="O293" s="316">
        <f t="shared" si="7"/>
        <v>12000</v>
      </c>
      <c r="P293" s="290"/>
      <c r="Q293" s="316" t="s">
        <v>1510</v>
      </c>
    </row>
    <row r="294" spans="1:17" s="82" customFormat="1" ht="24.95" customHeight="1">
      <c r="A294" s="284"/>
      <c r="B294" s="285"/>
      <c r="C294" s="285"/>
      <c r="D294" s="304"/>
      <c r="E294" s="294" t="s">
        <v>1632</v>
      </c>
      <c r="F294" s="295"/>
      <c r="G294" s="510" t="s">
        <v>1639</v>
      </c>
      <c r="H294" s="510"/>
      <c r="I294" s="510"/>
      <c r="J294" s="296"/>
      <c r="K294" s="296"/>
      <c r="L294" s="291"/>
      <c r="M294" s="315"/>
      <c r="N294" s="316"/>
      <c r="O294" s="316"/>
      <c r="P294" s="290"/>
      <c r="Q294" s="316"/>
    </row>
    <row r="295" spans="1:17" s="82" customFormat="1" ht="24.95" customHeight="1">
      <c r="A295" s="284"/>
      <c r="B295" s="285"/>
      <c r="C295" s="285"/>
      <c r="D295" s="304"/>
      <c r="E295" s="305"/>
      <c r="F295" s="298"/>
      <c r="G295" s="298"/>
      <c r="H295" s="298"/>
      <c r="I295" s="298"/>
      <c r="J295" s="511" t="s">
        <v>1640</v>
      </c>
      <c r="K295" s="511"/>
      <c r="L295" s="291">
        <f>ROUNDDOWN(50000*3*0.012*80%,0)</f>
        <v>1440</v>
      </c>
      <c r="M295" s="315">
        <f>+L295</f>
        <v>1440</v>
      </c>
      <c r="N295" s="316">
        <v>0</v>
      </c>
      <c r="O295" s="316">
        <f t="shared" si="7"/>
        <v>1440</v>
      </c>
      <c r="P295" s="290"/>
      <c r="Q295" s="316"/>
    </row>
    <row r="296" spans="1:17" s="82" customFormat="1" ht="24.95" customHeight="1">
      <c r="A296" s="284"/>
      <c r="B296" s="285"/>
      <c r="C296" s="285"/>
      <c r="D296" s="304"/>
      <c r="E296" s="294" t="s">
        <v>1632</v>
      </c>
      <c r="F296" s="295"/>
      <c r="G296" s="510" t="s">
        <v>1641</v>
      </c>
      <c r="H296" s="510"/>
      <c r="I296" s="510"/>
      <c r="J296" s="296"/>
      <c r="K296" s="296"/>
      <c r="L296" s="291"/>
      <c r="M296" s="315"/>
      <c r="N296" s="316"/>
      <c r="O296" s="316"/>
      <c r="P296" s="290"/>
      <c r="Q296" s="316"/>
    </row>
    <row r="297" spans="1:17" s="82" customFormat="1" ht="24.95" customHeight="1">
      <c r="A297" s="284"/>
      <c r="B297" s="285"/>
      <c r="C297" s="285"/>
      <c r="D297" s="304"/>
      <c r="E297" s="305"/>
      <c r="F297" s="298"/>
      <c r="G297" s="298"/>
      <c r="H297" s="298"/>
      <c r="I297" s="298"/>
      <c r="J297" s="511" t="s">
        <v>1642</v>
      </c>
      <c r="K297" s="511"/>
      <c r="L297" s="291">
        <f>ROUNDDOWN(50000*3*0.012*50%,0)</f>
        <v>900</v>
      </c>
      <c r="M297" s="315">
        <f>+L297</f>
        <v>900</v>
      </c>
      <c r="N297" s="316">
        <v>0</v>
      </c>
      <c r="O297" s="316">
        <f t="shared" si="7"/>
        <v>900</v>
      </c>
      <c r="P297" s="290"/>
      <c r="Q297" s="316"/>
    </row>
    <row r="298" spans="1:17" s="82" customFormat="1" ht="24.95" customHeight="1">
      <c r="A298" s="284"/>
      <c r="B298" s="285"/>
      <c r="C298" s="285"/>
      <c r="D298" s="304"/>
      <c r="E298" s="509" t="s">
        <v>976</v>
      </c>
      <c r="F298" s="510"/>
      <c r="G298" s="510"/>
      <c r="H298" s="510"/>
      <c r="I298" s="510"/>
      <c r="J298" s="511"/>
      <c r="K298" s="511"/>
      <c r="L298" s="291"/>
      <c r="M298" s="315"/>
      <c r="N298" s="316"/>
      <c r="O298" s="316"/>
      <c r="P298" s="290"/>
      <c r="Q298" s="316"/>
    </row>
    <row r="299" spans="1:17" s="82" customFormat="1" ht="24.95" customHeight="1">
      <c r="A299" s="284"/>
      <c r="B299" s="285"/>
      <c r="C299" s="285"/>
      <c r="D299" s="304"/>
      <c r="E299" s="294" t="s">
        <v>1632</v>
      </c>
      <c r="F299" s="295"/>
      <c r="G299" s="510" t="s">
        <v>1643</v>
      </c>
      <c r="H299" s="510"/>
      <c r="I299" s="510"/>
      <c r="J299" s="296"/>
      <c r="K299" s="296"/>
      <c r="L299" s="291"/>
      <c r="M299" s="315"/>
      <c r="N299" s="316"/>
      <c r="O299" s="316"/>
      <c r="P299" s="290"/>
      <c r="Q299" s="316"/>
    </row>
    <row r="300" spans="1:17" s="82" customFormat="1" ht="24.95" customHeight="1">
      <c r="A300" s="284"/>
      <c r="B300" s="285"/>
      <c r="C300" s="285"/>
      <c r="D300" s="304"/>
      <c r="E300" s="305"/>
      <c r="F300" s="298"/>
      <c r="G300" s="298"/>
      <c r="H300" s="298"/>
      <c r="I300" s="298"/>
      <c r="J300" s="511" t="s">
        <v>1644</v>
      </c>
      <c r="K300" s="511"/>
      <c r="L300" s="291">
        <f>ROUNDDOWN(70000*18*0.012,0)</f>
        <v>15120</v>
      </c>
      <c r="M300" s="315">
        <f>+L300</f>
        <v>15120</v>
      </c>
      <c r="N300" s="316">
        <v>29400</v>
      </c>
      <c r="O300" s="316">
        <f t="shared" si="7"/>
        <v>-14280</v>
      </c>
      <c r="P300" s="290"/>
      <c r="Q300" s="316" t="s">
        <v>1631</v>
      </c>
    </row>
    <row r="301" spans="1:17" s="82" customFormat="1" ht="24.95" customHeight="1">
      <c r="A301" s="284"/>
      <c r="B301" s="285"/>
      <c r="C301" s="285"/>
      <c r="D301" s="304"/>
      <c r="E301" s="294" t="s">
        <v>1632</v>
      </c>
      <c r="F301" s="295"/>
      <c r="G301" s="510" t="s">
        <v>1633</v>
      </c>
      <c r="H301" s="510"/>
      <c r="I301" s="510"/>
      <c r="J301" s="296"/>
      <c r="K301" s="296"/>
      <c r="L301" s="291"/>
      <c r="M301" s="315"/>
      <c r="N301" s="316"/>
      <c r="O301" s="316"/>
      <c r="P301" s="290"/>
      <c r="Q301" s="316"/>
    </row>
    <row r="302" spans="1:17" s="82" customFormat="1" ht="24.95" customHeight="1">
      <c r="A302" s="284"/>
      <c r="B302" s="285"/>
      <c r="C302" s="285"/>
      <c r="D302" s="304"/>
      <c r="E302" s="305"/>
      <c r="F302" s="298"/>
      <c r="G302" s="298"/>
      <c r="H302" s="298"/>
      <c r="I302" s="298"/>
      <c r="J302" s="511" t="s">
        <v>1645</v>
      </c>
      <c r="K302" s="511"/>
      <c r="L302" s="291">
        <f>ROUNDDOWN(70000*3*0.012*80%,0)</f>
        <v>2016</v>
      </c>
      <c r="M302" s="315">
        <f>+L302</f>
        <v>2016</v>
      </c>
      <c r="N302" s="316">
        <v>0</v>
      </c>
      <c r="O302" s="316">
        <f t="shared" si="7"/>
        <v>2016</v>
      </c>
      <c r="P302" s="290"/>
      <c r="Q302" s="316"/>
    </row>
    <row r="303" spans="1:17" s="82" customFormat="1" ht="24.95" customHeight="1">
      <c r="A303" s="284"/>
      <c r="B303" s="285"/>
      <c r="C303" s="285"/>
      <c r="D303" s="304"/>
      <c r="E303" s="294" t="s">
        <v>1632</v>
      </c>
      <c r="F303" s="295"/>
      <c r="G303" s="510" t="s">
        <v>1635</v>
      </c>
      <c r="H303" s="510"/>
      <c r="I303" s="510"/>
      <c r="J303" s="296"/>
      <c r="K303" s="296"/>
      <c r="L303" s="291"/>
      <c r="M303" s="315"/>
      <c r="N303" s="316"/>
      <c r="O303" s="316"/>
      <c r="P303" s="290"/>
      <c r="Q303" s="316"/>
    </row>
    <row r="304" spans="1:17" s="82" customFormat="1" ht="24.95" customHeight="1">
      <c r="A304" s="284"/>
      <c r="B304" s="285"/>
      <c r="C304" s="285"/>
      <c r="D304" s="304"/>
      <c r="E304" s="305"/>
      <c r="F304" s="298"/>
      <c r="G304" s="298"/>
      <c r="H304" s="298"/>
      <c r="I304" s="298"/>
      <c r="J304" s="511" t="s">
        <v>1646</v>
      </c>
      <c r="K304" s="511"/>
      <c r="L304" s="291">
        <f>ROUNDDOWN(70000*2*0.012*50%,0)</f>
        <v>840</v>
      </c>
      <c r="M304" s="315">
        <f>+L304</f>
        <v>840</v>
      </c>
      <c r="N304" s="316">
        <v>0</v>
      </c>
      <c r="O304" s="316">
        <f t="shared" si="7"/>
        <v>840</v>
      </c>
      <c r="P304" s="290"/>
      <c r="Q304" s="316"/>
    </row>
    <row r="305" spans="1:17" s="82" customFormat="1" ht="24.95" customHeight="1">
      <c r="A305" s="284"/>
      <c r="B305" s="285"/>
      <c r="C305" s="285"/>
      <c r="D305" s="304"/>
      <c r="E305" s="294" t="s">
        <v>1632</v>
      </c>
      <c r="F305" s="295"/>
      <c r="G305" s="510" t="s">
        <v>1647</v>
      </c>
      <c r="H305" s="510"/>
      <c r="I305" s="510"/>
      <c r="J305" s="296"/>
      <c r="K305" s="296"/>
      <c r="L305" s="291"/>
      <c r="M305" s="315"/>
      <c r="N305" s="316"/>
      <c r="O305" s="316"/>
      <c r="P305" s="290"/>
      <c r="Q305" s="316"/>
    </row>
    <row r="306" spans="1:17" s="82" customFormat="1" ht="24.95" customHeight="1">
      <c r="A306" s="284"/>
      <c r="B306" s="285"/>
      <c r="C306" s="285"/>
      <c r="D306" s="304"/>
      <c r="E306" s="305"/>
      <c r="F306" s="298"/>
      <c r="G306" s="298"/>
      <c r="H306" s="298"/>
      <c r="I306" s="298"/>
      <c r="J306" s="511" t="s">
        <v>1648</v>
      </c>
      <c r="K306" s="511"/>
      <c r="L306" s="291">
        <f>ROUNDDOWN(35000*12*0.012,0)</f>
        <v>5040</v>
      </c>
      <c r="M306" s="315">
        <f>+L306</f>
        <v>5040</v>
      </c>
      <c r="N306" s="316">
        <v>0</v>
      </c>
      <c r="O306" s="316">
        <f t="shared" si="7"/>
        <v>5040</v>
      </c>
      <c r="P306" s="290"/>
      <c r="Q306" s="316" t="s">
        <v>1510</v>
      </c>
    </row>
    <row r="307" spans="1:17" s="82" customFormat="1" ht="24.95" customHeight="1">
      <c r="A307" s="284"/>
      <c r="B307" s="285"/>
      <c r="C307" s="285"/>
      <c r="D307" s="304"/>
      <c r="E307" s="294" t="s">
        <v>1632</v>
      </c>
      <c r="F307" s="295"/>
      <c r="G307" s="510" t="s">
        <v>1639</v>
      </c>
      <c r="H307" s="510"/>
      <c r="I307" s="510"/>
      <c r="J307" s="296"/>
      <c r="K307" s="296"/>
      <c r="L307" s="291"/>
      <c r="M307" s="315"/>
      <c r="N307" s="316"/>
      <c r="O307" s="316"/>
      <c r="P307" s="290"/>
      <c r="Q307" s="316"/>
    </row>
    <row r="308" spans="1:17" s="82" customFormat="1" ht="24.95" customHeight="1">
      <c r="A308" s="284"/>
      <c r="B308" s="285"/>
      <c r="C308" s="285"/>
      <c r="D308" s="304"/>
      <c r="E308" s="305"/>
      <c r="F308" s="298"/>
      <c r="G308" s="298"/>
      <c r="H308" s="298"/>
      <c r="I308" s="298"/>
      <c r="J308" s="511" t="s">
        <v>1649</v>
      </c>
      <c r="K308" s="511"/>
      <c r="L308" s="291">
        <f>ROUNDDOWN(35000*3*0.012*80%,0)</f>
        <v>1008</v>
      </c>
      <c r="M308" s="315">
        <f>+L308</f>
        <v>1008</v>
      </c>
      <c r="N308" s="316">
        <v>0</v>
      </c>
      <c r="O308" s="316">
        <f t="shared" si="7"/>
        <v>1008</v>
      </c>
      <c r="P308" s="290"/>
      <c r="Q308" s="316"/>
    </row>
    <row r="309" spans="1:17" s="82" customFormat="1" ht="24.95" customHeight="1">
      <c r="A309" s="284"/>
      <c r="B309" s="285"/>
      <c r="C309" s="285"/>
      <c r="D309" s="304"/>
      <c r="E309" s="294" t="s">
        <v>1632</v>
      </c>
      <c r="F309" s="295"/>
      <c r="G309" s="510" t="s">
        <v>1641</v>
      </c>
      <c r="H309" s="510"/>
      <c r="I309" s="510"/>
      <c r="J309" s="296"/>
      <c r="K309" s="296"/>
      <c r="L309" s="291"/>
      <c r="M309" s="315"/>
      <c r="N309" s="316"/>
      <c r="O309" s="316"/>
      <c r="P309" s="290"/>
      <c r="Q309" s="316"/>
    </row>
    <row r="310" spans="1:17" s="82" customFormat="1" ht="24.95" customHeight="1">
      <c r="A310" s="284"/>
      <c r="B310" s="285"/>
      <c r="C310" s="285"/>
      <c r="D310" s="304"/>
      <c r="E310" s="305"/>
      <c r="F310" s="298"/>
      <c r="G310" s="298"/>
      <c r="H310" s="298"/>
      <c r="I310" s="298"/>
      <c r="J310" s="511" t="s">
        <v>1650</v>
      </c>
      <c r="K310" s="511"/>
      <c r="L310" s="291">
        <f>ROUNDDOWN(35000*3*0.012*50%,0)</f>
        <v>630</v>
      </c>
      <c r="M310" s="315">
        <f>+L310</f>
        <v>630</v>
      </c>
      <c r="N310" s="316">
        <v>0</v>
      </c>
      <c r="O310" s="316">
        <f t="shared" si="7"/>
        <v>630</v>
      </c>
      <c r="P310" s="290"/>
      <c r="Q310" s="316"/>
    </row>
    <row r="311" spans="1:17" s="82" customFormat="1" ht="24.95" customHeight="1">
      <c r="A311" s="284"/>
      <c r="B311" s="285"/>
      <c r="C311" s="285"/>
      <c r="D311" s="304"/>
      <c r="E311" s="509" t="s">
        <v>900</v>
      </c>
      <c r="F311" s="510"/>
      <c r="G311" s="510"/>
      <c r="H311" s="510"/>
      <c r="I311" s="510"/>
      <c r="J311" s="511"/>
      <c r="K311" s="511"/>
      <c r="L311" s="291"/>
      <c r="M311" s="315"/>
      <c r="N311" s="316"/>
      <c r="O311" s="316"/>
      <c r="P311" s="290"/>
      <c r="Q311" s="316"/>
    </row>
    <row r="312" spans="1:17" s="82" customFormat="1" ht="24.95" customHeight="1">
      <c r="A312" s="284"/>
      <c r="B312" s="285"/>
      <c r="C312" s="285"/>
      <c r="D312" s="304"/>
      <c r="E312" s="294" t="s">
        <v>1628</v>
      </c>
      <c r="F312" s="295"/>
      <c r="G312" s="510" t="s">
        <v>1491</v>
      </c>
      <c r="H312" s="510"/>
      <c r="I312" s="510"/>
      <c r="J312" s="296"/>
      <c r="K312" s="296"/>
      <c r="L312" s="291"/>
      <c r="M312" s="315"/>
      <c r="N312" s="316"/>
      <c r="O312" s="316"/>
      <c r="P312" s="290"/>
      <c r="Q312" s="316"/>
    </row>
    <row r="313" spans="1:17" s="82" customFormat="1" ht="24.95" customHeight="1">
      <c r="A313" s="284"/>
      <c r="B313" s="285"/>
      <c r="C313" s="285"/>
      <c r="D313" s="304"/>
      <c r="E313" s="305"/>
      <c r="F313" s="298"/>
      <c r="G313" s="298"/>
      <c r="H313" s="298"/>
      <c r="I313" s="298"/>
      <c r="J313" s="511" t="s">
        <v>1651</v>
      </c>
      <c r="K313" s="511"/>
      <c r="L313" s="291">
        <f>ROUNDDOWN(7000*200*0.012,0)</f>
        <v>16800</v>
      </c>
      <c r="M313" s="315">
        <f>+L313</f>
        <v>16800</v>
      </c>
      <c r="N313" s="316">
        <v>25200</v>
      </c>
      <c r="O313" s="316">
        <f t="shared" si="7"/>
        <v>-8400</v>
      </c>
      <c r="P313" s="290"/>
      <c r="Q313" s="316" t="s">
        <v>1631</v>
      </c>
    </row>
    <row r="314" spans="1:17" s="82" customFormat="1" ht="24.95" customHeight="1">
      <c r="A314" s="284"/>
      <c r="B314" s="285"/>
      <c r="C314" s="285"/>
      <c r="D314" s="304"/>
      <c r="E314" s="294" t="s">
        <v>1632</v>
      </c>
      <c r="F314" s="295"/>
      <c r="G314" s="510" t="s">
        <v>1480</v>
      </c>
      <c r="H314" s="510"/>
      <c r="I314" s="510"/>
      <c r="J314" s="296"/>
      <c r="K314" s="296"/>
      <c r="L314" s="291"/>
      <c r="M314" s="315"/>
      <c r="N314" s="316"/>
      <c r="O314" s="316"/>
      <c r="P314" s="290"/>
      <c r="Q314" s="316"/>
    </row>
    <row r="315" spans="1:17" s="82" customFormat="1" ht="24.95" customHeight="1">
      <c r="A315" s="284"/>
      <c r="B315" s="285"/>
      <c r="C315" s="285"/>
      <c r="D315" s="304"/>
      <c r="E315" s="305"/>
      <c r="F315" s="298"/>
      <c r="G315" s="298"/>
      <c r="H315" s="298"/>
      <c r="I315" s="298"/>
      <c r="J315" s="511" t="s">
        <v>1652</v>
      </c>
      <c r="K315" s="511"/>
      <c r="L315" s="291">
        <f>ROUNDDOWN(7000*60*0.012*80%,0)</f>
        <v>4032</v>
      </c>
      <c r="M315" s="315">
        <f>+L315</f>
        <v>4032</v>
      </c>
      <c r="N315" s="316">
        <v>0</v>
      </c>
      <c r="O315" s="316">
        <f t="shared" ref="O315" si="8">+M315-N315</f>
        <v>4032</v>
      </c>
      <c r="P315" s="290"/>
      <c r="Q315" s="316"/>
    </row>
    <row r="316" spans="1:17" s="82" customFormat="1" ht="24.95" customHeight="1">
      <c r="A316" s="284"/>
      <c r="B316" s="285"/>
      <c r="C316" s="285"/>
      <c r="D316" s="304"/>
      <c r="E316" s="294" t="s">
        <v>1632</v>
      </c>
      <c r="F316" s="295"/>
      <c r="G316" s="510" t="s">
        <v>1653</v>
      </c>
      <c r="H316" s="510"/>
      <c r="I316" s="510"/>
      <c r="J316" s="296"/>
      <c r="K316" s="296"/>
      <c r="L316" s="291"/>
      <c r="M316" s="315"/>
      <c r="N316" s="316"/>
      <c r="O316" s="316"/>
      <c r="P316" s="290"/>
      <c r="Q316" s="316"/>
    </row>
    <row r="317" spans="1:17" s="82" customFormat="1" ht="24.95" customHeight="1">
      <c r="A317" s="284"/>
      <c r="B317" s="285"/>
      <c r="C317" s="285"/>
      <c r="D317" s="304"/>
      <c r="E317" s="305"/>
      <c r="F317" s="298"/>
      <c r="G317" s="298"/>
      <c r="H317" s="298"/>
      <c r="I317" s="298"/>
      <c r="J317" s="511" t="s">
        <v>1654</v>
      </c>
      <c r="K317" s="511"/>
      <c r="L317" s="291">
        <f>ROUNDDOWN(7000*80*0.012*50%,0)</f>
        <v>3360</v>
      </c>
      <c r="M317" s="315">
        <f>+L317</f>
        <v>3360</v>
      </c>
      <c r="N317" s="316">
        <v>0</v>
      </c>
      <c r="O317" s="316">
        <f t="shared" si="7"/>
        <v>3360</v>
      </c>
      <c r="P317" s="290"/>
      <c r="Q317" s="316"/>
    </row>
    <row r="318" spans="1:17" s="82" customFormat="1" ht="24.95" customHeight="1">
      <c r="A318" s="284"/>
      <c r="B318" s="285"/>
      <c r="C318" s="285"/>
      <c r="D318" s="304"/>
      <c r="E318" s="509" t="s">
        <v>977</v>
      </c>
      <c r="F318" s="510"/>
      <c r="G318" s="510"/>
      <c r="H318" s="510"/>
      <c r="I318" s="510"/>
      <c r="J318" s="511"/>
      <c r="K318" s="511"/>
      <c r="L318" s="291"/>
      <c r="M318" s="315"/>
      <c r="N318" s="316"/>
      <c r="O318" s="316"/>
      <c r="P318" s="290"/>
      <c r="Q318" s="316"/>
    </row>
    <row r="319" spans="1:17" s="82" customFormat="1" ht="24.95" customHeight="1">
      <c r="A319" s="284"/>
      <c r="B319" s="285"/>
      <c r="C319" s="285"/>
      <c r="D319" s="304"/>
      <c r="E319" s="509"/>
      <c r="F319" s="510"/>
      <c r="G319" s="510"/>
      <c r="H319" s="510"/>
      <c r="I319" s="510"/>
      <c r="J319" s="511" t="s">
        <v>978</v>
      </c>
      <c r="K319" s="511"/>
      <c r="L319" s="291">
        <f>ROUNDDOWN(140000*3*0.012,0)</f>
        <v>5040</v>
      </c>
      <c r="M319" s="315">
        <f>+L319</f>
        <v>5040</v>
      </c>
      <c r="N319" s="316">
        <v>5040</v>
      </c>
      <c r="O319" s="316">
        <f t="shared" si="7"/>
        <v>0</v>
      </c>
      <c r="P319" s="290"/>
      <c r="Q319" s="316"/>
    </row>
    <row r="320" spans="1:17" s="82" customFormat="1" ht="24.95" customHeight="1">
      <c r="A320" s="284"/>
      <c r="B320" s="285"/>
      <c r="C320" s="285"/>
      <c r="D320" s="286"/>
      <c r="E320" s="508" t="s">
        <v>979</v>
      </c>
      <c r="F320" s="403"/>
      <c r="G320" s="403"/>
      <c r="H320" s="403"/>
      <c r="I320" s="403"/>
      <c r="J320" s="403"/>
      <c r="K320" s="287"/>
      <c r="L320" s="288">
        <f>SUM(L321:L569)</f>
        <v>1308066</v>
      </c>
      <c r="M320" s="288"/>
      <c r="N320" s="288"/>
      <c r="O320" s="288"/>
      <c r="P320" s="289"/>
      <c r="Q320" s="316"/>
    </row>
    <row r="321" spans="1:17" s="82" customFormat="1" ht="24.95" customHeight="1">
      <c r="A321" s="284"/>
      <c r="B321" s="285"/>
      <c r="C321" s="285"/>
      <c r="D321" s="286"/>
      <c r="E321" s="509" t="s">
        <v>1655</v>
      </c>
      <c r="F321" s="510"/>
      <c r="G321" s="510"/>
      <c r="H321" s="510"/>
      <c r="I321" s="510"/>
      <c r="J321" s="511"/>
      <c r="K321" s="511"/>
      <c r="L321" s="291"/>
      <c r="M321" s="315"/>
      <c r="N321" s="316"/>
      <c r="O321" s="316"/>
      <c r="P321" s="290"/>
      <c r="Q321" s="316"/>
    </row>
    <row r="322" spans="1:17" s="82" customFormat="1" ht="24.95" customHeight="1">
      <c r="A322" s="284"/>
      <c r="B322" s="285"/>
      <c r="C322" s="285"/>
      <c r="D322" s="286"/>
      <c r="E322" s="292"/>
      <c r="F322" s="293"/>
      <c r="G322" s="510" t="s">
        <v>1656</v>
      </c>
      <c r="H322" s="510"/>
      <c r="I322" s="510"/>
      <c r="J322" s="296"/>
      <c r="K322" s="296"/>
      <c r="L322" s="291"/>
      <c r="M322" s="315"/>
      <c r="N322" s="316"/>
      <c r="O322" s="316"/>
      <c r="P322" s="290"/>
      <c r="Q322" s="316"/>
    </row>
    <row r="323" spans="1:17" s="82" customFormat="1" ht="24.95" customHeight="1">
      <c r="A323" s="284"/>
      <c r="B323" s="285"/>
      <c r="C323" s="285"/>
      <c r="D323" s="286"/>
      <c r="E323" s="516" t="s">
        <v>1657</v>
      </c>
      <c r="F323" s="511"/>
      <c r="G323" s="511"/>
      <c r="H323" s="511"/>
      <c r="I323" s="511"/>
      <c r="J323" s="511"/>
      <c r="K323" s="511"/>
      <c r="L323" s="291">
        <f>ROUNDDOWN(52000*13*4*0.012,0)</f>
        <v>32448</v>
      </c>
      <c r="M323" s="315">
        <f>+L323</f>
        <v>32448</v>
      </c>
      <c r="N323" s="316">
        <v>31824</v>
      </c>
      <c r="O323" s="316">
        <f t="shared" ref="O323:O385" si="9">+M323-N323</f>
        <v>624</v>
      </c>
      <c r="P323" s="290"/>
      <c r="Q323" s="316" t="s">
        <v>1658</v>
      </c>
    </row>
    <row r="324" spans="1:17" s="82" customFormat="1" ht="24.95" customHeight="1">
      <c r="A324" s="284"/>
      <c r="B324" s="285"/>
      <c r="C324" s="285"/>
      <c r="D324" s="286"/>
      <c r="E324" s="300"/>
      <c r="F324" s="296"/>
      <c r="G324" s="510" t="s">
        <v>1892</v>
      </c>
      <c r="H324" s="510"/>
      <c r="I324" s="510"/>
      <c r="J324" s="517"/>
      <c r="K324" s="296"/>
      <c r="L324" s="291"/>
      <c r="M324" s="315"/>
      <c r="N324" s="316"/>
      <c r="O324" s="316"/>
      <c r="P324" s="290"/>
      <c r="Q324" s="316"/>
    </row>
    <row r="325" spans="1:17" s="82" customFormat="1" ht="24.95" customHeight="1">
      <c r="A325" s="284"/>
      <c r="B325" s="285"/>
      <c r="C325" s="285"/>
      <c r="D325" s="286"/>
      <c r="E325" s="300"/>
      <c r="F325" s="296"/>
      <c r="G325" s="296"/>
      <c r="H325" s="296"/>
      <c r="I325" s="511" t="s">
        <v>1659</v>
      </c>
      <c r="J325" s="511"/>
      <c r="K325" s="511"/>
      <c r="L325" s="291">
        <f>ROUNDDOWN(52000*4*4*0.012*80%,0)</f>
        <v>7987</v>
      </c>
      <c r="M325" s="315">
        <f>+L325</f>
        <v>7987</v>
      </c>
      <c r="N325" s="316">
        <v>0</v>
      </c>
      <c r="O325" s="316">
        <f t="shared" si="9"/>
        <v>7987</v>
      </c>
      <c r="P325" s="290"/>
      <c r="Q325" s="316"/>
    </row>
    <row r="326" spans="1:17" s="82" customFormat="1" ht="24.95" customHeight="1">
      <c r="A326" s="284"/>
      <c r="B326" s="285"/>
      <c r="C326" s="285"/>
      <c r="D326" s="286"/>
      <c r="E326" s="509" t="s">
        <v>1029</v>
      </c>
      <c r="F326" s="510"/>
      <c r="G326" s="510"/>
      <c r="H326" s="510"/>
      <c r="I326" s="510"/>
      <c r="J326" s="296"/>
      <c r="K326" s="296"/>
      <c r="L326" s="291"/>
      <c r="M326" s="315"/>
      <c r="N326" s="316"/>
      <c r="O326" s="316"/>
      <c r="P326" s="290"/>
      <c r="Q326" s="316"/>
    </row>
    <row r="327" spans="1:17" s="82" customFormat="1" ht="24.95" customHeight="1">
      <c r="A327" s="284"/>
      <c r="B327" s="285"/>
      <c r="C327" s="285"/>
      <c r="D327" s="286"/>
      <c r="E327" s="292"/>
      <c r="F327" s="293"/>
      <c r="G327" s="510" t="s">
        <v>1087</v>
      </c>
      <c r="H327" s="510"/>
      <c r="I327" s="510"/>
      <c r="J327" s="296"/>
      <c r="K327" s="296"/>
      <c r="L327" s="291"/>
      <c r="M327" s="315"/>
      <c r="N327" s="316"/>
      <c r="O327" s="316"/>
      <c r="P327" s="290"/>
      <c r="Q327" s="316"/>
    </row>
    <row r="328" spans="1:17" s="82" customFormat="1" ht="24.95" customHeight="1">
      <c r="A328" s="284"/>
      <c r="B328" s="285"/>
      <c r="C328" s="285"/>
      <c r="D328" s="286"/>
      <c r="E328" s="516" t="s">
        <v>1660</v>
      </c>
      <c r="F328" s="511"/>
      <c r="G328" s="511"/>
      <c r="H328" s="511"/>
      <c r="I328" s="511"/>
      <c r="J328" s="511"/>
      <c r="K328" s="511"/>
      <c r="L328" s="291">
        <f>ROUNDDOWN(32000*3*1*0.012,0)</f>
        <v>1152</v>
      </c>
      <c r="M328" s="315">
        <f>+L328</f>
        <v>1152</v>
      </c>
      <c r="N328" s="316">
        <v>5760</v>
      </c>
      <c r="O328" s="316">
        <f t="shared" si="9"/>
        <v>-4608</v>
      </c>
      <c r="P328" s="290"/>
      <c r="Q328" s="316" t="s">
        <v>1568</v>
      </c>
    </row>
    <row r="329" spans="1:17" s="82" customFormat="1" ht="24.95" customHeight="1">
      <c r="A329" s="284"/>
      <c r="B329" s="285"/>
      <c r="C329" s="285"/>
      <c r="D329" s="286"/>
      <c r="E329" s="300"/>
      <c r="F329" s="296"/>
      <c r="G329" s="510" t="s">
        <v>1653</v>
      </c>
      <c r="H329" s="510"/>
      <c r="I329" s="510"/>
      <c r="J329" s="293"/>
      <c r="K329" s="293"/>
      <c r="L329" s="291"/>
      <c r="M329" s="315"/>
      <c r="N329" s="316"/>
      <c r="O329" s="316"/>
      <c r="P329" s="290"/>
      <c r="Q329" s="316"/>
    </row>
    <row r="330" spans="1:17" s="82" customFormat="1" ht="24.95" customHeight="1">
      <c r="A330" s="284"/>
      <c r="B330" s="285"/>
      <c r="C330" s="285"/>
      <c r="D330" s="286"/>
      <c r="E330" s="516" t="s">
        <v>1661</v>
      </c>
      <c r="F330" s="511"/>
      <c r="G330" s="511"/>
      <c r="H330" s="511"/>
      <c r="I330" s="511"/>
      <c r="J330" s="511"/>
      <c r="K330" s="511"/>
      <c r="L330" s="291">
        <f>ROUNDDOWN(32000*12*1*0.012*50%,0)</f>
        <v>2304</v>
      </c>
      <c r="M330" s="315">
        <v>2304</v>
      </c>
      <c r="N330" s="316">
        <v>0</v>
      </c>
      <c r="O330" s="316">
        <f t="shared" si="9"/>
        <v>2304</v>
      </c>
      <c r="P330" s="290"/>
      <c r="Q330" s="316"/>
    </row>
    <row r="331" spans="1:17" s="82" customFormat="1" ht="24.95" customHeight="1">
      <c r="A331" s="284"/>
      <c r="B331" s="285"/>
      <c r="C331" s="285"/>
      <c r="D331" s="286"/>
      <c r="E331" s="509" t="s">
        <v>980</v>
      </c>
      <c r="F331" s="510"/>
      <c r="G331" s="510"/>
      <c r="H331" s="510"/>
      <c r="I331" s="510"/>
      <c r="J331" s="511"/>
      <c r="K331" s="511"/>
      <c r="L331" s="291"/>
      <c r="M331" s="315"/>
      <c r="N331" s="316"/>
      <c r="O331" s="316"/>
      <c r="P331" s="290"/>
      <c r="Q331" s="316"/>
    </row>
    <row r="332" spans="1:17" s="82" customFormat="1" ht="24.95" customHeight="1">
      <c r="A332" s="284"/>
      <c r="B332" s="285"/>
      <c r="C332" s="285"/>
      <c r="D332" s="286"/>
      <c r="E332" s="292"/>
      <c r="F332" s="293"/>
      <c r="G332" s="510" t="s">
        <v>903</v>
      </c>
      <c r="H332" s="510"/>
      <c r="I332" s="510"/>
      <c r="J332" s="296"/>
      <c r="K332" s="296"/>
      <c r="L332" s="291"/>
      <c r="M332" s="315"/>
      <c r="N332" s="316"/>
      <c r="O332" s="316"/>
      <c r="P332" s="290"/>
      <c r="Q332" s="316"/>
    </row>
    <row r="333" spans="1:17" s="82" customFormat="1" ht="24.95" customHeight="1">
      <c r="A333" s="284"/>
      <c r="B333" s="285"/>
      <c r="C333" s="285"/>
      <c r="D333" s="286"/>
      <c r="E333" s="516" t="s">
        <v>1662</v>
      </c>
      <c r="F333" s="511"/>
      <c r="G333" s="511"/>
      <c r="H333" s="511"/>
      <c r="I333" s="511"/>
      <c r="J333" s="511"/>
      <c r="K333" s="511"/>
      <c r="L333" s="291">
        <f>ROUNDDOWN(65000*10*3*0.012,0)</f>
        <v>23400</v>
      </c>
      <c r="M333" s="315">
        <f>+L333</f>
        <v>23400</v>
      </c>
      <c r="N333" s="316">
        <v>39780</v>
      </c>
      <c r="O333" s="316">
        <f t="shared" si="9"/>
        <v>-16380</v>
      </c>
      <c r="P333" s="290"/>
      <c r="Q333" s="316" t="s">
        <v>1479</v>
      </c>
    </row>
    <row r="334" spans="1:17" s="82" customFormat="1" ht="24.95" customHeight="1">
      <c r="A334" s="284"/>
      <c r="B334" s="285"/>
      <c r="C334" s="285"/>
      <c r="D334" s="286"/>
      <c r="E334" s="300"/>
      <c r="F334" s="296"/>
      <c r="G334" s="510" t="s">
        <v>1488</v>
      </c>
      <c r="H334" s="510"/>
      <c r="I334" s="510"/>
      <c r="J334" s="295"/>
      <c r="K334" s="295"/>
      <c r="L334" s="291"/>
      <c r="M334" s="315"/>
      <c r="N334" s="316"/>
      <c r="O334" s="316"/>
      <c r="P334" s="290"/>
      <c r="Q334" s="316"/>
    </row>
    <row r="335" spans="1:17" s="82" customFormat="1" ht="24.95" customHeight="1">
      <c r="A335" s="284"/>
      <c r="B335" s="285"/>
      <c r="C335" s="285"/>
      <c r="D335" s="286"/>
      <c r="E335" s="516" t="s">
        <v>1663</v>
      </c>
      <c r="F335" s="511"/>
      <c r="G335" s="511"/>
      <c r="H335" s="511"/>
      <c r="I335" s="511"/>
      <c r="J335" s="511"/>
      <c r="K335" s="511"/>
      <c r="L335" s="291">
        <f>ROUNDDOWN(65000*7*3*0.012*80%,0)</f>
        <v>13104</v>
      </c>
      <c r="M335" s="315">
        <v>13104</v>
      </c>
      <c r="N335" s="316">
        <v>0</v>
      </c>
      <c r="O335" s="316">
        <f t="shared" si="9"/>
        <v>13104</v>
      </c>
      <c r="P335" s="290"/>
      <c r="Q335" s="316"/>
    </row>
    <row r="336" spans="1:17" s="82" customFormat="1" ht="24.95" customHeight="1">
      <c r="A336" s="284"/>
      <c r="B336" s="285"/>
      <c r="C336" s="285"/>
      <c r="D336" s="286"/>
      <c r="E336" s="509" t="s">
        <v>982</v>
      </c>
      <c r="F336" s="510"/>
      <c r="G336" s="510"/>
      <c r="H336" s="510"/>
      <c r="I336" s="510"/>
      <c r="J336" s="511"/>
      <c r="K336" s="511"/>
      <c r="L336" s="291"/>
      <c r="M336" s="315"/>
      <c r="N336" s="316"/>
      <c r="O336" s="316"/>
      <c r="P336" s="290"/>
      <c r="Q336" s="316"/>
    </row>
    <row r="337" spans="1:17" s="82" customFormat="1" ht="24.95" customHeight="1">
      <c r="A337" s="284"/>
      <c r="B337" s="285"/>
      <c r="C337" s="285"/>
      <c r="D337" s="286"/>
      <c r="E337" s="292"/>
      <c r="F337" s="293"/>
      <c r="G337" s="510" t="s">
        <v>981</v>
      </c>
      <c r="H337" s="510"/>
      <c r="I337" s="510"/>
      <c r="J337" s="296"/>
      <c r="K337" s="296"/>
      <c r="L337" s="291"/>
      <c r="M337" s="315"/>
      <c r="N337" s="316"/>
      <c r="O337" s="316"/>
      <c r="P337" s="290"/>
      <c r="Q337" s="316"/>
    </row>
    <row r="338" spans="1:17" s="82" customFormat="1" ht="24.95" customHeight="1">
      <c r="A338" s="284"/>
      <c r="B338" s="285"/>
      <c r="C338" s="285"/>
      <c r="D338" s="286"/>
      <c r="E338" s="516" t="s">
        <v>1664</v>
      </c>
      <c r="F338" s="511"/>
      <c r="G338" s="511"/>
      <c r="H338" s="511"/>
      <c r="I338" s="511"/>
      <c r="J338" s="511"/>
      <c r="K338" s="511"/>
      <c r="L338" s="291">
        <f>ROUNDDOWN(((48000*68)+(43000*20)+(37000*60))*12/1000,0)</f>
        <v>76128</v>
      </c>
      <c r="M338" s="315">
        <f>+L338</f>
        <v>76128</v>
      </c>
      <c r="N338" s="316">
        <v>123360</v>
      </c>
      <c r="O338" s="316">
        <f t="shared" si="9"/>
        <v>-47232</v>
      </c>
      <c r="P338" s="290"/>
      <c r="Q338" s="316" t="s">
        <v>1665</v>
      </c>
    </row>
    <row r="339" spans="1:17" s="82" customFormat="1" ht="24.95" customHeight="1">
      <c r="A339" s="284"/>
      <c r="B339" s="285"/>
      <c r="C339" s="285"/>
      <c r="D339" s="286"/>
      <c r="E339" s="300"/>
      <c r="F339" s="296"/>
      <c r="G339" s="510" t="s">
        <v>1893</v>
      </c>
      <c r="H339" s="510"/>
      <c r="I339" s="510"/>
      <c r="J339" s="295"/>
      <c r="K339" s="295"/>
      <c r="L339" s="291"/>
      <c r="M339" s="315"/>
      <c r="N339" s="316"/>
      <c r="O339" s="316"/>
      <c r="P339" s="290"/>
      <c r="Q339" s="316"/>
    </row>
    <row r="340" spans="1:17" s="82" customFormat="1" ht="24.95" customHeight="1">
      <c r="A340" s="284"/>
      <c r="B340" s="285"/>
      <c r="C340" s="285"/>
      <c r="D340" s="286"/>
      <c r="E340" s="300"/>
      <c r="F340" s="511" t="s">
        <v>1666</v>
      </c>
      <c r="G340" s="511"/>
      <c r="H340" s="511"/>
      <c r="I340" s="511"/>
      <c r="J340" s="511"/>
      <c r="K340" s="511"/>
      <c r="L340" s="291">
        <f>ROUNDDOWN(48000*7*12/1000*80%,0)</f>
        <v>3225</v>
      </c>
      <c r="M340" s="315">
        <f>+L340</f>
        <v>3225</v>
      </c>
      <c r="N340" s="316">
        <v>0</v>
      </c>
      <c r="O340" s="316">
        <f t="shared" si="9"/>
        <v>3225</v>
      </c>
      <c r="P340" s="290"/>
      <c r="Q340" s="316"/>
    </row>
    <row r="341" spans="1:17" s="82" customFormat="1" ht="24.95" customHeight="1">
      <c r="A341" s="284"/>
      <c r="B341" s="285"/>
      <c r="C341" s="285"/>
      <c r="D341" s="286"/>
      <c r="E341" s="300"/>
      <c r="F341" s="296"/>
      <c r="G341" s="510" t="s">
        <v>1894</v>
      </c>
      <c r="H341" s="510"/>
      <c r="I341" s="510"/>
      <c r="J341" s="295"/>
      <c r="K341" s="295"/>
      <c r="L341" s="291"/>
      <c r="M341" s="315"/>
      <c r="N341" s="316"/>
      <c r="O341" s="316"/>
      <c r="P341" s="290"/>
      <c r="Q341" s="316"/>
    </row>
    <row r="342" spans="1:17" s="82" customFormat="1" ht="24.95" customHeight="1">
      <c r="A342" s="284"/>
      <c r="B342" s="285"/>
      <c r="C342" s="285"/>
      <c r="D342" s="286"/>
      <c r="E342" s="516" t="s">
        <v>1667</v>
      </c>
      <c r="F342" s="511"/>
      <c r="G342" s="511"/>
      <c r="H342" s="511"/>
      <c r="I342" s="511"/>
      <c r="J342" s="511"/>
      <c r="K342" s="511"/>
      <c r="L342" s="291">
        <f>ROUNDDOWN(48000*75*12/1000*50%,0)</f>
        <v>21600</v>
      </c>
      <c r="M342" s="315">
        <f>+L342</f>
        <v>21600</v>
      </c>
      <c r="N342" s="316">
        <v>0</v>
      </c>
      <c r="O342" s="316">
        <f t="shared" si="9"/>
        <v>21600</v>
      </c>
      <c r="P342" s="290"/>
      <c r="Q342" s="316"/>
    </row>
    <row r="343" spans="1:17" s="82" customFormat="1" ht="24.95" customHeight="1">
      <c r="A343" s="284"/>
      <c r="B343" s="285"/>
      <c r="C343" s="285"/>
      <c r="D343" s="286"/>
      <c r="E343" s="292"/>
      <c r="F343" s="293"/>
      <c r="G343" s="510" t="s">
        <v>1668</v>
      </c>
      <c r="H343" s="510"/>
      <c r="I343" s="510"/>
      <c r="J343" s="296"/>
      <c r="K343" s="296"/>
      <c r="L343" s="291"/>
      <c r="M343" s="315"/>
      <c r="N343" s="316"/>
      <c r="O343" s="316"/>
      <c r="P343" s="290"/>
      <c r="Q343" s="316"/>
    </row>
    <row r="344" spans="1:17" s="82" customFormat="1" ht="24.95" customHeight="1">
      <c r="A344" s="284"/>
      <c r="B344" s="285"/>
      <c r="C344" s="285"/>
      <c r="D344" s="286"/>
      <c r="E344" s="516" t="s">
        <v>1669</v>
      </c>
      <c r="F344" s="511"/>
      <c r="G344" s="511"/>
      <c r="H344" s="511"/>
      <c r="I344" s="511"/>
      <c r="J344" s="511"/>
      <c r="K344" s="511"/>
      <c r="L344" s="291">
        <f>ROUNDDOWN(((53000*141)+(48000*30)+(40000*10))*12/1000,0)</f>
        <v>111756</v>
      </c>
      <c r="M344" s="315">
        <f>+L344</f>
        <v>111756</v>
      </c>
      <c r="N344" s="316">
        <v>117480</v>
      </c>
      <c r="O344" s="316">
        <f t="shared" si="9"/>
        <v>-5724</v>
      </c>
      <c r="P344" s="290"/>
      <c r="Q344" s="316" t="s">
        <v>1665</v>
      </c>
    </row>
    <row r="345" spans="1:17" s="82" customFormat="1" ht="24.95" customHeight="1">
      <c r="A345" s="284"/>
      <c r="B345" s="285"/>
      <c r="C345" s="285"/>
      <c r="D345" s="286"/>
      <c r="E345" s="300"/>
      <c r="F345" s="296"/>
      <c r="G345" s="510" t="s">
        <v>1895</v>
      </c>
      <c r="H345" s="510"/>
      <c r="I345" s="510"/>
      <c r="J345" s="295"/>
      <c r="K345" s="295"/>
      <c r="L345" s="291"/>
      <c r="M345" s="315"/>
      <c r="N345" s="316"/>
      <c r="O345" s="316"/>
      <c r="P345" s="290"/>
      <c r="Q345" s="316"/>
    </row>
    <row r="346" spans="1:17" s="82" customFormat="1" ht="24.95" customHeight="1">
      <c r="A346" s="284"/>
      <c r="B346" s="285"/>
      <c r="C346" s="285"/>
      <c r="D346" s="286"/>
      <c r="E346" s="516" t="s">
        <v>1670</v>
      </c>
      <c r="F346" s="511"/>
      <c r="G346" s="511"/>
      <c r="H346" s="511"/>
      <c r="I346" s="511"/>
      <c r="J346" s="511"/>
      <c r="K346" s="511"/>
      <c r="L346" s="291">
        <f>ROUNDDOWN(53000*9*12/1000*80%,0)</f>
        <v>4579</v>
      </c>
      <c r="M346" s="315">
        <f>+L346</f>
        <v>4579</v>
      </c>
      <c r="N346" s="316">
        <v>0</v>
      </c>
      <c r="O346" s="316">
        <f t="shared" si="9"/>
        <v>4579</v>
      </c>
      <c r="P346" s="290"/>
      <c r="Q346" s="316"/>
    </row>
    <row r="347" spans="1:17" s="82" customFormat="1" ht="24.95" customHeight="1">
      <c r="A347" s="284"/>
      <c r="B347" s="285"/>
      <c r="C347" s="285"/>
      <c r="D347" s="286"/>
      <c r="E347" s="292"/>
      <c r="F347" s="293"/>
      <c r="G347" s="510" t="s">
        <v>983</v>
      </c>
      <c r="H347" s="510"/>
      <c r="I347" s="510"/>
      <c r="J347" s="296"/>
      <c r="K347" s="296"/>
      <c r="L347" s="291"/>
      <c r="M347" s="315"/>
      <c r="N347" s="316"/>
      <c r="O347" s="316"/>
      <c r="P347" s="290"/>
      <c r="Q347" s="316"/>
    </row>
    <row r="348" spans="1:17" s="82" customFormat="1" ht="24.95" customHeight="1">
      <c r="A348" s="284"/>
      <c r="B348" s="285"/>
      <c r="C348" s="285"/>
      <c r="D348" s="286"/>
      <c r="E348" s="516" t="s">
        <v>1671</v>
      </c>
      <c r="F348" s="511"/>
      <c r="G348" s="511"/>
      <c r="H348" s="511"/>
      <c r="I348" s="511"/>
      <c r="J348" s="511"/>
      <c r="K348" s="511"/>
      <c r="L348" s="291">
        <f>ROUNDDOWN(((58000*77)+(52000*20)+(43000*20))*12/1000,0)</f>
        <v>76392</v>
      </c>
      <c r="M348" s="315">
        <f>+L348</f>
        <v>76392</v>
      </c>
      <c r="N348" s="316">
        <v>92400</v>
      </c>
      <c r="O348" s="316">
        <f t="shared" si="9"/>
        <v>-16008</v>
      </c>
      <c r="P348" s="290"/>
      <c r="Q348" s="316" t="s">
        <v>1665</v>
      </c>
    </row>
    <row r="349" spans="1:17" s="82" customFormat="1" ht="24.95" customHeight="1">
      <c r="A349" s="284"/>
      <c r="B349" s="285"/>
      <c r="C349" s="285"/>
      <c r="D349" s="286"/>
      <c r="E349" s="300"/>
      <c r="F349" s="296"/>
      <c r="G349" s="510" t="s">
        <v>1896</v>
      </c>
      <c r="H349" s="510"/>
      <c r="I349" s="510"/>
      <c r="J349" s="295"/>
      <c r="K349" s="295"/>
      <c r="L349" s="291"/>
      <c r="M349" s="315"/>
      <c r="N349" s="316"/>
      <c r="O349" s="316"/>
      <c r="P349" s="290"/>
      <c r="Q349" s="316"/>
    </row>
    <row r="350" spans="1:17" s="82" customFormat="1" ht="24.95" customHeight="1">
      <c r="A350" s="284"/>
      <c r="B350" s="285"/>
      <c r="C350" s="285"/>
      <c r="D350" s="286"/>
      <c r="E350" s="516" t="s">
        <v>1672</v>
      </c>
      <c r="F350" s="511"/>
      <c r="G350" s="511"/>
      <c r="H350" s="511"/>
      <c r="I350" s="511"/>
      <c r="J350" s="511"/>
      <c r="K350" s="511"/>
      <c r="L350" s="291">
        <f>ROUNDDOWN(58000*9*12/1000*80%,0)</f>
        <v>5011</v>
      </c>
      <c r="M350" s="315">
        <f>+L350</f>
        <v>5011</v>
      </c>
      <c r="N350" s="316">
        <v>0</v>
      </c>
      <c r="O350" s="316">
        <f t="shared" si="9"/>
        <v>5011</v>
      </c>
      <c r="P350" s="290"/>
      <c r="Q350" s="316"/>
    </row>
    <row r="351" spans="1:17" s="82" customFormat="1" ht="24.95" customHeight="1">
      <c r="A351" s="284"/>
      <c r="B351" s="285"/>
      <c r="C351" s="285"/>
      <c r="D351" s="286"/>
      <c r="E351" s="300"/>
      <c r="F351" s="296"/>
      <c r="G351" s="510" t="s">
        <v>1897</v>
      </c>
      <c r="H351" s="510"/>
      <c r="I351" s="510"/>
      <c r="J351" s="295"/>
      <c r="K351" s="295"/>
      <c r="L351" s="291"/>
      <c r="M351" s="315"/>
      <c r="N351" s="316"/>
      <c r="O351" s="316"/>
      <c r="P351" s="290"/>
      <c r="Q351" s="316"/>
    </row>
    <row r="352" spans="1:17" s="82" customFormat="1" ht="24.95" customHeight="1">
      <c r="A352" s="284"/>
      <c r="B352" s="285"/>
      <c r="C352" s="285"/>
      <c r="D352" s="286"/>
      <c r="E352" s="516" t="s">
        <v>1673</v>
      </c>
      <c r="F352" s="511"/>
      <c r="G352" s="511"/>
      <c r="H352" s="511"/>
      <c r="I352" s="511"/>
      <c r="J352" s="511"/>
      <c r="K352" s="511"/>
      <c r="L352" s="291">
        <f>ROUNDDOWN(58000*14*12/1000*50%,0)</f>
        <v>4872</v>
      </c>
      <c r="M352" s="315">
        <f>+L352</f>
        <v>4872</v>
      </c>
      <c r="N352" s="316">
        <v>0</v>
      </c>
      <c r="O352" s="316">
        <f t="shared" si="9"/>
        <v>4872</v>
      </c>
      <c r="P352" s="290"/>
      <c r="Q352" s="316"/>
    </row>
    <row r="353" spans="1:17" s="82" customFormat="1" ht="24.95" customHeight="1">
      <c r="A353" s="284"/>
      <c r="B353" s="285"/>
      <c r="C353" s="285"/>
      <c r="D353" s="286"/>
      <c r="E353" s="292"/>
      <c r="F353" s="293"/>
      <c r="G353" s="510" t="s">
        <v>984</v>
      </c>
      <c r="H353" s="510"/>
      <c r="I353" s="510"/>
      <c r="J353" s="296"/>
      <c r="K353" s="296"/>
      <c r="L353" s="291"/>
      <c r="M353" s="315"/>
      <c r="N353" s="316"/>
      <c r="O353" s="316"/>
      <c r="P353" s="290"/>
      <c r="Q353" s="316"/>
    </row>
    <row r="354" spans="1:17" s="82" customFormat="1" ht="24.95" customHeight="1">
      <c r="A354" s="284"/>
      <c r="B354" s="285"/>
      <c r="C354" s="285"/>
      <c r="D354" s="286"/>
      <c r="E354" s="516" t="s">
        <v>985</v>
      </c>
      <c r="F354" s="511"/>
      <c r="G354" s="511"/>
      <c r="H354" s="511"/>
      <c r="I354" s="511"/>
      <c r="J354" s="511"/>
      <c r="K354" s="511"/>
      <c r="L354" s="291">
        <f>ROUNDDOWN(304000*20*0.012,0)</f>
        <v>72960</v>
      </c>
      <c r="M354" s="315">
        <f>+L354</f>
        <v>72960</v>
      </c>
      <c r="N354" s="316">
        <v>72960</v>
      </c>
      <c r="O354" s="316">
        <f t="shared" si="9"/>
        <v>0</v>
      </c>
      <c r="P354" s="290"/>
      <c r="Q354" s="316"/>
    </row>
    <row r="355" spans="1:17" s="82" customFormat="1" ht="24.95" customHeight="1">
      <c r="A355" s="284"/>
      <c r="B355" s="285"/>
      <c r="C355" s="285"/>
      <c r="D355" s="286"/>
      <c r="E355" s="292"/>
      <c r="F355" s="293"/>
      <c r="G355" s="510" t="s">
        <v>986</v>
      </c>
      <c r="H355" s="510"/>
      <c r="I355" s="510"/>
      <c r="J355" s="296"/>
      <c r="K355" s="296"/>
      <c r="L355" s="291"/>
      <c r="M355" s="315"/>
      <c r="N355" s="316"/>
      <c r="O355" s="316"/>
      <c r="P355" s="290"/>
      <c r="Q355" s="316"/>
    </row>
    <row r="356" spans="1:17" s="82" customFormat="1" ht="24.95" customHeight="1">
      <c r="A356" s="284"/>
      <c r="B356" s="285"/>
      <c r="C356" s="285"/>
      <c r="D356" s="286"/>
      <c r="E356" s="516" t="s">
        <v>987</v>
      </c>
      <c r="F356" s="511"/>
      <c r="G356" s="511"/>
      <c r="H356" s="511"/>
      <c r="I356" s="511"/>
      <c r="J356" s="511"/>
      <c r="K356" s="511"/>
      <c r="L356" s="291">
        <f>ROUNDDOWN(380000*3*0.012,0)</f>
        <v>13680</v>
      </c>
      <c r="M356" s="315">
        <f>+L356</f>
        <v>13680</v>
      </c>
      <c r="N356" s="316">
        <v>13680</v>
      </c>
      <c r="O356" s="316">
        <f t="shared" si="9"/>
        <v>0</v>
      </c>
      <c r="P356" s="290"/>
      <c r="Q356" s="316"/>
    </row>
    <row r="357" spans="1:17" s="82" customFormat="1" ht="24.95" customHeight="1">
      <c r="A357" s="284"/>
      <c r="B357" s="285"/>
      <c r="C357" s="285"/>
      <c r="D357" s="286"/>
      <c r="E357" s="292"/>
      <c r="F357" s="293"/>
      <c r="G357" s="510" t="s">
        <v>988</v>
      </c>
      <c r="H357" s="510"/>
      <c r="I357" s="510"/>
      <c r="J357" s="296"/>
      <c r="K357" s="296"/>
      <c r="L357" s="291"/>
      <c r="M357" s="315"/>
      <c r="N357" s="316"/>
      <c r="O357" s="316"/>
      <c r="P357" s="290"/>
      <c r="Q357" s="316"/>
    </row>
    <row r="358" spans="1:17" s="82" customFormat="1" ht="24.95" customHeight="1">
      <c r="A358" s="284"/>
      <c r="B358" s="285"/>
      <c r="C358" s="285"/>
      <c r="D358" s="286"/>
      <c r="E358" s="509"/>
      <c r="F358" s="510"/>
      <c r="G358" s="510"/>
      <c r="H358" s="510"/>
      <c r="I358" s="510"/>
      <c r="J358" s="511" t="s">
        <v>989</v>
      </c>
      <c r="K358" s="511"/>
      <c r="L358" s="291">
        <f>ROUNDDOWN(456000*3*0.012,0)</f>
        <v>16416</v>
      </c>
      <c r="M358" s="315">
        <f>+L358</f>
        <v>16416</v>
      </c>
      <c r="N358" s="316">
        <v>16416</v>
      </c>
      <c r="O358" s="316">
        <f t="shared" si="9"/>
        <v>0</v>
      </c>
      <c r="P358" s="290"/>
      <c r="Q358" s="316"/>
    </row>
    <row r="359" spans="1:17" s="82" customFormat="1" ht="24.95" customHeight="1">
      <c r="A359" s="284"/>
      <c r="B359" s="285"/>
      <c r="C359" s="285"/>
      <c r="D359" s="286"/>
      <c r="E359" s="292"/>
      <c r="F359" s="293"/>
      <c r="G359" s="510" t="s">
        <v>990</v>
      </c>
      <c r="H359" s="510"/>
      <c r="I359" s="510"/>
      <c r="J359" s="296"/>
      <c r="K359" s="296"/>
      <c r="L359" s="291"/>
      <c r="M359" s="315"/>
      <c r="N359" s="316"/>
      <c r="O359" s="316"/>
      <c r="P359" s="290"/>
      <c r="Q359" s="316"/>
    </row>
    <row r="360" spans="1:17" s="82" customFormat="1" ht="24.95" customHeight="1">
      <c r="A360" s="284"/>
      <c r="B360" s="285"/>
      <c r="C360" s="285"/>
      <c r="D360" s="286"/>
      <c r="E360" s="509"/>
      <c r="F360" s="510"/>
      <c r="G360" s="510"/>
      <c r="H360" s="510"/>
      <c r="I360" s="510"/>
      <c r="J360" s="511" t="s">
        <v>991</v>
      </c>
      <c r="K360" s="511"/>
      <c r="L360" s="291">
        <f>ROUNDDOWN(250000*5*0.012,0)</f>
        <v>15000</v>
      </c>
      <c r="M360" s="315">
        <f>+L360</f>
        <v>15000</v>
      </c>
      <c r="N360" s="316">
        <v>15000</v>
      </c>
      <c r="O360" s="316">
        <f t="shared" si="9"/>
        <v>0</v>
      </c>
      <c r="P360" s="290"/>
      <c r="Q360" s="316"/>
    </row>
    <row r="361" spans="1:17" s="82" customFormat="1" ht="24.95" customHeight="1">
      <c r="A361" s="284"/>
      <c r="B361" s="285"/>
      <c r="C361" s="285"/>
      <c r="D361" s="286"/>
      <c r="E361" s="292"/>
      <c r="F361" s="293"/>
      <c r="G361" s="510" t="s">
        <v>992</v>
      </c>
      <c r="H361" s="510"/>
      <c r="I361" s="510"/>
      <c r="J361" s="296"/>
      <c r="K361" s="296"/>
      <c r="L361" s="291"/>
      <c r="M361" s="315"/>
      <c r="N361" s="316"/>
      <c r="O361" s="316"/>
      <c r="P361" s="290"/>
      <c r="Q361" s="316"/>
    </row>
    <row r="362" spans="1:17" s="82" customFormat="1" ht="24.95" customHeight="1">
      <c r="A362" s="284"/>
      <c r="B362" s="285"/>
      <c r="C362" s="285"/>
      <c r="D362" s="286"/>
      <c r="E362" s="509"/>
      <c r="F362" s="510"/>
      <c r="G362" s="510"/>
      <c r="H362" s="510"/>
      <c r="I362" s="510"/>
      <c r="J362" s="511" t="s">
        <v>993</v>
      </c>
      <c r="K362" s="511"/>
      <c r="L362" s="291">
        <f>ROUNDDOWN(104000*5*0.012,0)</f>
        <v>6240</v>
      </c>
      <c r="M362" s="315">
        <f>+L362</f>
        <v>6240</v>
      </c>
      <c r="N362" s="316">
        <v>6240</v>
      </c>
      <c r="O362" s="316">
        <f t="shared" si="9"/>
        <v>0</v>
      </c>
      <c r="P362" s="290"/>
      <c r="Q362" s="316"/>
    </row>
    <row r="363" spans="1:17" s="82" customFormat="1" ht="24.95" customHeight="1">
      <c r="A363" s="284"/>
      <c r="B363" s="285"/>
      <c r="C363" s="285"/>
      <c r="D363" s="286"/>
      <c r="E363" s="292"/>
      <c r="F363" s="293"/>
      <c r="G363" s="510" t="s">
        <v>994</v>
      </c>
      <c r="H363" s="510"/>
      <c r="I363" s="510"/>
      <c r="J363" s="296"/>
      <c r="K363" s="296"/>
      <c r="L363" s="291"/>
      <c r="M363" s="315"/>
      <c r="N363" s="316"/>
      <c r="O363" s="316"/>
      <c r="P363" s="290"/>
      <c r="Q363" s="316"/>
    </row>
    <row r="364" spans="1:17" s="82" customFormat="1" ht="24.95" customHeight="1">
      <c r="A364" s="284"/>
      <c r="B364" s="285"/>
      <c r="C364" s="285"/>
      <c r="D364" s="286"/>
      <c r="E364" s="516" t="s">
        <v>1674</v>
      </c>
      <c r="F364" s="511"/>
      <c r="G364" s="511"/>
      <c r="H364" s="511"/>
      <c r="I364" s="511"/>
      <c r="J364" s="511"/>
      <c r="K364" s="511"/>
      <c r="L364" s="291">
        <f>ROUNDDOWN(4500*18*24*0.012,0)</f>
        <v>23328</v>
      </c>
      <c r="M364" s="315">
        <f>+L364</f>
        <v>23328</v>
      </c>
      <c r="N364" s="316">
        <v>25920</v>
      </c>
      <c r="O364" s="316">
        <f t="shared" si="9"/>
        <v>-2592</v>
      </c>
      <c r="P364" s="290"/>
      <c r="Q364" s="316" t="s">
        <v>1479</v>
      </c>
    </row>
    <row r="365" spans="1:17" s="82" customFormat="1" ht="24.95" customHeight="1">
      <c r="A365" s="284"/>
      <c r="B365" s="285"/>
      <c r="C365" s="285"/>
      <c r="D365" s="286"/>
      <c r="E365" s="300"/>
      <c r="F365" s="296"/>
      <c r="G365" s="510" t="s">
        <v>1898</v>
      </c>
      <c r="H365" s="510"/>
      <c r="I365" s="510"/>
      <c r="J365" s="295"/>
      <c r="K365" s="295"/>
      <c r="L365" s="291"/>
      <c r="M365" s="315"/>
      <c r="N365" s="316"/>
      <c r="O365" s="316">
        <f t="shared" si="9"/>
        <v>0</v>
      </c>
      <c r="P365" s="290"/>
      <c r="Q365" s="316"/>
    </row>
    <row r="366" spans="1:17" s="82" customFormat="1" ht="24.95" customHeight="1">
      <c r="A366" s="284"/>
      <c r="B366" s="285"/>
      <c r="C366" s="285"/>
      <c r="D366" s="286"/>
      <c r="E366" s="516" t="s">
        <v>1675</v>
      </c>
      <c r="F366" s="511"/>
      <c r="G366" s="511"/>
      <c r="H366" s="511"/>
      <c r="I366" s="511"/>
      <c r="J366" s="511"/>
      <c r="K366" s="511"/>
      <c r="L366" s="291">
        <f>ROUNDDOWN(4500*2*24*12/1000*80%,0)</f>
        <v>2073</v>
      </c>
      <c r="M366" s="315">
        <f>+L366</f>
        <v>2073</v>
      </c>
      <c r="N366" s="316">
        <v>0</v>
      </c>
      <c r="O366" s="316">
        <f t="shared" si="9"/>
        <v>2073</v>
      </c>
      <c r="P366" s="290"/>
      <c r="Q366" s="316"/>
    </row>
    <row r="367" spans="1:17" s="82" customFormat="1" ht="24.95" customHeight="1">
      <c r="A367" s="284"/>
      <c r="B367" s="285"/>
      <c r="C367" s="285"/>
      <c r="D367" s="286"/>
      <c r="E367" s="292"/>
      <c r="F367" s="293"/>
      <c r="G367" s="510" t="s">
        <v>995</v>
      </c>
      <c r="H367" s="510"/>
      <c r="I367" s="510"/>
      <c r="J367" s="296"/>
      <c r="K367" s="296"/>
      <c r="L367" s="291"/>
      <c r="M367" s="315"/>
      <c r="N367" s="316"/>
      <c r="O367" s="316"/>
      <c r="P367" s="290"/>
      <c r="Q367" s="316"/>
    </row>
    <row r="368" spans="1:17" s="82" customFormat="1" ht="24.95" customHeight="1">
      <c r="A368" s="284"/>
      <c r="B368" s="285"/>
      <c r="C368" s="285"/>
      <c r="D368" s="286"/>
      <c r="E368" s="509"/>
      <c r="F368" s="510"/>
      <c r="G368" s="510"/>
      <c r="H368" s="510"/>
      <c r="I368" s="510"/>
      <c r="J368" s="511" t="s">
        <v>996</v>
      </c>
      <c r="K368" s="511"/>
      <c r="L368" s="291">
        <f>ROUNDDOWN(22500*50*0.012,0)</f>
        <v>13500</v>
      </c>
      <c r="M368" s="315">
        <f>+L368</f>
        <v>13500</v>
      </c>
      <c r="N368" s="316">
        <v>13500</v>
      </c>
      <c r="O368" s="316">
        <f t="shared" si="9"/>
        <v>0</v>
      </c>
      <c r="P368" s="290"/>
      <c r="Q368" s="316"/>
    </row>
    <row r="369" spans="1:17" s="82" customFormat="1" ht="24.95" customHeight="1">
      <c r="A369" s="284"/>
      <c r="B369" s="285"/>
      <c r="C369" s="285"/>
      <c r="D369" s="286"/>
      <c r="E369" s="292"/>
      <c r="F369" s="293"/>
      <c r="G369" s="510" t="s">
        <v>997</v>
      </c>
      <c r="H369" s="510"/>
      <c r="I369" s="510"/>
      <c r="J369" s="296"/>
      <c r="K369" s="296"/>
      <c r="L369" s="291"/>
      <c r="M369" s="315"/>
      <c r="N369" s="316"/>
      <c r="O369" s="316"/>
      <c r="P369" s="290"/>
      <c r="Q369" s="316"/>
    </row>
    <row r="370" spans="1:17" s="82" customFormat="1" ht="24.95" customHeight="1">
      <c r="A370" s="284"/>
      <c r="B370" s="285"/>
      <c r="C370" s="285"/>
      <c r="D370" s="286"/>
      <c r="E370" s="509"/>
      <c r="F370" s="510"/>
      <c r="G370" s="510"/>
      <c r="H370" s="510"/>
      <c r="I370" s="510"/>
      <c r="J370" s="511" t="s">
        <v>998</v>
      </c>
      <c r="K370" s="511"/>
      <c r="L370" s="291">
        <f>ROUNDDOWN(36000*15*0.012,0)</f>
        <v>6480</v>
      </c>
      <c r="M370" s="315">
        <f>+L370</f>
        <v>6480</v>
      </c>
      <c r="N370" s="316">
        <v>6480</v>
      </c>
      <c r="O370" s="316">
        <f t="shared" si="9"/>
        <v>0</v>
      </c>
      <c r="P370" s="290"/>
      <c r="Q370" s="316"/>
    </row>
    <row r="371" spans="1:17" s="82" customFormat="1" ht="24.95" customHeight="1">
      <c r="A371" s="284"/>
      <c r="B371" s="285"/>
      <c r="C371" s="285"/>
      <c r="D371" s="286"/>
      <c r="E371" s="509" t="s">
        <v>999</v>
      </c>
      <c r="F371" s="510"/>
      <c r="G371" s="510"/>
      <c r="H371" s="510"/>
      <c r="I371" s="510"/>
      <c r="J371" s="511"/>
      <c r="K371" s="511"/>
      <c r="L371" s="291"/>
      <c r="M371" s="315"/>
      <c r="N371" s="316"/>
      <c r="O371" s="316"/>
      <c r="P371" s="290"/>
      <c r="Q371" s="316"/>
    </row>
    <row r="372" spans="1:17" s="82" customFormat="1" ht="24.95" customHeight="1">
      <c r="A372" s="284"/>
      <c r="B372" s="285"/>
      <c r="C372" s="285"/>
      <c r="D372" s="286"/>
      <c r="E372" s="292"/>
      <c r="F372" s="293"/>
      <c r="G372" s="510" t="s">
        <v>1676</v>
      </c>
      <c r="H372" s="510"/>
      <c r="I372" s="510"/>
      <c r="J372" s="296"/>
      <c r="K372" s="296"/>
      <c r="L372" s="291"/>
      <c r="M372" s="315"/>
      <c r="N372" s="316"/>
      <c r="O372" s="316"/>
      <c r="P372" s="290"/>
      <c r="Q372" s="316"/>
    </row>
    <row r="373" spans="1:17" s="82" customFormat="1" ht="24.95" customHeight="1">
      <c r="A373" s="284"/>
      <c r="B373" s="285"/>
      <c r="C373" s="285"/>
      <c r="D373" s="286"/>
      <c r="E373" s="516" t="s">
        <v>1677</v>
      </c>
      <c r="F373" s="511"/>
      <c r="G373" s="511"/>
      <c r="H373" s="511"/>
      <c r="I373" s="511"/>
      <c r="J373" s="511"/>
      <c r="K373" s="511"/>
      <c r="L373" s="291">
        <f>ROUNDDOWN(((70000*10*2)+(90000*8))*12/1000,0)</f>
        <v>25440</v>
      </c>
      <c r="M373" s="315">
        <f>+L373</f>
        <v>25440</v>
      </c>
      <c r="N373" s="316">
        <v>36000</v>
      </c>
      <c r="O373" s="316">
        <f t="shared" si="9"/>
        <v>-10560</v>
      </c>
      <c r="P373" s="290"/>
      <c r="Q373" s="316" t="s">
        <v>1479</v>
      </c>
    </row>
    <row r="374" spans="1:17" s="82" customFormat="1" ht="24.95" customHeight="1">
      <c r="A374" s="284"/>
      <c r="B374" s="285"/>
      <c r="C374" s="285"/>
      <c r="D374" s="286"/>
      <c r="E374" s="300"/>
      <c r="F374" s="296"/>
      <c r="G374" s="510" t="s">
        <v>1899</v>
      </c>
      <c r="H374" s="510"/>
      <c r="I374" s="510"/>
      <c r="J374" s="295"/>
      <c r="K374" s="295"/>
      <c r="L374" s="291"/>
      <c r="M374" s="315"/>
      <c r="N374" s="316"/>
      <c r="O374" s="316"/>
      <c r="P374" s="290"/>
      <c r="Q374" s="316"/>
    </row>
    <row r="375" spans="1:17" s="82" customFormat="1" ht="24.95" customHeight="1">
      <c r="A375" s="284"/>
      <c r="B375" s="285"/>
      <c r="C375" s="285"/>
      <c r="D375" s="286"/>
      <c r="E375" s="516" t="s">
        <v>1678</v>
      </c>
      <c r="F375" s="511"/>
      <c r="G375" s="511"/>
      <c r="H375" s="511"/>
      <c r="I375" s="511"/>
      <c r="J375" s="511"/>
      <c r="K375" s="511"/>
      <c r="L375" s="291">
        <f>ROUNDDOWN(((70000*5*2)+(90000*2))*12/1000*80%,0)</f>
        <v>8448</v>
      </c>
      <c r="M375" s="315">
        <f>+L375</f>
        <v>8448</v>
      </c>
      <c r="N375" s="316">
        <v>0</v>
      </c>
      <c r="O375" s="316">
        <f t="shared" si="9"/>
        <v>8448</v>
      </c>
      <c r="P375" s="290"/>
      <c r="Q375" s="316"/>
    </row>
    <row r="376" spans="1:17" s="82" customFormat="1" ht="24.95" customHeight="1">
      <c r="A376" s="284"/>
      <c r="B376" s="285"/>
      <c r="C376" s="285"/>
      <c r="D376" s="286"/>
      <c r="E376" s="292"/>
      <c r="F376" s="293"/>
      <c r="G376" s="510" t="s">
        <v>1679</v>
      </c>
      <c r="H376" s="510"/>
      <c r="I376" s="510"/>
      <c r="J376" s="296"/>
      <c r="K376" s="296"/>
      <c r="L376" s="291"/>
      <c r="M376" s="315"/>
      <c r="N376" s="316"/>
      <c r="O376" s="316"/>
      <c r="P376" s="290"/>
      <c r="Q376" s="316"/>
    </row>
    <row r="377" spans="1:17" s="82" customFormat="1" ht="24.95" customHeight="1">
      <c r="A377" s="284"/>
      <c r="B377" s="285"/>
      <c r="C377" s="285"/>
      <c r="D377" s="286"/>
      <c r="E377" s="516" t="s">
        <v>1680</v>
      </c>
      <c r="F377" s="511"/>
      <c r="G377" s="511"/>
      <c r="H377" s="511"/>
      <c r="I377" s="511"/>
      <c r="J377" s="511"/>
      <c r="K377" s="511"/>
      <c r="L377" s="291">
        <f>ROUNDDOWN(40000*8*3*0.012,0)</f>
        <v>11520</v>
      </c>
      <c r="M377" s="315">
        <f>+L377</f>
        <v>11520</v>
      </c>
      <c r="N377" s="316">
        <v>21600</v>
      </c>
      <c r="O377" s="316">
        <f t="shared" si="9"/>
        <v>-10080</v>
      </c>
      <c r="P377" s="290"/>
      <c r="Q377" s="316" t="s">
        <v>1479</v>
      </c>
    </row>
    <row r="378" spans="1:17" s="82" customFormat="1" ht="24.95" customHeight="1">
      <c r="A378" s="284"/>
      <c r="B378" s="285"/>
      <c r="C378" s="285"/>
      <c r="D378" s="286"/>
      <c r="E378" s="300"/>
      <c r="F378" s="296"/>
      <c r="G378" s="293" t="s">
        <v>1900</v>
      </c>
      <c r="H378" s="293"/>
      <c r="I378" s="293"/>
      <c r="J378" s="293"/>
      <c r="K378" s="295"/>
      <c r="L378" s="291"/>
      <c r="M378" s="315"/>
      <c r="N378" s="316"/>
      <c r="O378" s="316"/>
      <c r="P378" s="290"/>
      <c r="Q378" s="316"/>
    </row>
    <row r="379" spans="1:17" s="82" customFormat="1" ht="24.95" customHeight="1">
      <c r="A379" s="284"/>
      <c r="B379" s="285"/>
      <c r="C379" s="285"/>
      <c r="D379" s="286"/>
      <c r="E379" s="300"/>
      <c r="F379" s="511" t="s">
        <v>1681</v>
      </c>
      <c r="G379" s="511"/>
      <c r="H379" s="511"/>
      <c r="I379" s="511"/>
      <c r="J379" s="511"/>
      <c r="K379" s="511"/>
      <c r="L379" s="291">
        <f>ROUNDDOWN(40000*7*3*0.012*80%,0)</f>
        <v>8064</v>
      </c>
      <c r="M379" s="315">
        <f>+L379</f>
        <v>8064</v>
      </c>
      <c r="N379" s="316">
        <v>0</v>
      </c>
      <c r="O379" s="316">
        <f t="shared" si="9"/>
        <v>8064</v>
      </c>
      <c r="P379" s="290"/>
      <c r="Q379" s="316"/>
    </row>
    <row r="380" spans="1:17" s="82" customFormat="1" ht="24.95" customHeight="1">
      <c r="A380" s="284"/>
      <c r="B380" s="285"/>
      <c r="C380" s="285"/>
      <c r="D380" s="286"/>
      <c r="E380" s="292"/>
      <c r="F380" s="293"/>
      <c r="G380" s="510" t="s">
        <v>1000</v>
      </c>
      <c r="H380" s="510"/>
      <c r="I380" s="510"/>
      <c r="J380" s="296"/>
      <c r="K380" s="296"/>
      <c r="L380" s="291"/>
      <c r="M380" s="315"/>
      <c r="N380" s="316"/>
      <c r="O380" s="316"/>
      <c r="P380" s="290"/>
      <c r="Q380" s="316"/>
    </row>
    <row r="381" spans="1:17" s="82" customFormat="1" ht="24.95" customHeight="1">
      <c r="A381" s="284"/>
      <c r="B381" s="285"/>
      <c r="C381" s="285"/>
      <c r="D381" s="286"/>
      <c r="E381" s="516" t="s">
        <v>1682</v>
      </c>
      <c r="F381" s="511"/>
      <c r="G381" s="511"/>
      <c r="H381" s="511"/>
      <c r="I381" s="511"/>
      <c r="J381" s="511"/>
      <c r="K381" s="511"/>
      <c r="L381" s="291">
        <f>ROUNDDOWN(((43000*18*2)+(65000*23))*12/1000,0)</f>
        <v>36516</v>
      </c>
      <c r="M381" s="315">
        <f>+L381</f>
        <v>36516</v>
      </c>
      <c r="N381" s="316">
        <v>41976</v>
      </c>
      <c r="O381" s="316">
        <f t="shared" si="9"/>
        <v>-5460</v>
      </c>
      <c r="P381" s="290"/>
      <c r="Q381" s="316" t="s">
        <v>1479</v>
      </c>
    </row>
    <row r="382" spans="1:17" s="82" customFormat="1" ht="24.95" customHeight="1">
      <c r="A382" s="284"/>
      <c r="B382" s="285"/>
      <c r="C382" s="285"/>
      <c r="D382" s="286"/>
      <c r="E382" s="300"/>
      <c r="F382" s="296"/>
      <c r="G382" s="510" t="s">
        <v>1901</v>
      </c>
      <c r="H382" s="510"/>
      <c r="I382" s="510"/>
      <c r="J382" s="295"/>
      <c r="K382" s="295"/>
      <c r="L382" s="291"/>
      <c r="M382" s="315"/>
      <c r="N382" s="316"/>
      <c r="O382" s="316"/>
      <c r="P382" s="290"/>
      <c r="Q382" s="316"/>
    </row>
    <row r="383" spans="1:17" s="82" customFormat="1" ht="24.95" customHeight="1">
      <c r="A383" s="284"/>
      <c r="B383" s="285"/>
      <c r="C383" s="285"/>
      <c r="D383" s="286"/>
      <c r="E383" s="516" t="s">
        <v>1683</v>
      </c>
      <c r="F383" s="511"/>
      <c r="G383" s="511"/>
      <c r="H383" s="511"/>
      <c r="I383" s="511"/>
      <c r="J383" s="511"/>
      <c r="K383" s="511"/>
      <c r="L383" s="291">
        <f>ROUNDDOWN(((43000*18*2)+(65000*7))*12/1000*80%,0)</f>
        <v>19228</v>
      </c>
      <c r="M383" s="315">
        <f>+L383</f>
        <v>19228</v>
      </c>
      <c r="N383" s="316">
        <v>0</v>
      </c>
      <c r="O383" s="316">
        <f t="shared" si="9"/>
        <v>19228</v>
      </c>
      <c r="P383" s="290"/>
      <c r="Q383" s="316"/>
    </row>
    <row r="384" spans="1:17" s="82" customFormat="1" ht="24.95" customHeight="1">
      <c r="A384" s="284"/>
      <c r="B384" s="285"/>
      <c r="C384" s="285"/>
      <c r="D384" s="286"/>
      <c r="E384" s="292"/>
      <c r="F384" s="293"/>
      <c r="G384" s="510" t="s">
        <v>1001</v>
      </c>
      <c r="H384" s="510"/>
      <c r="I384" s="510"/>
      <c r="J384" s="296"/>
      <c r="K384" s="296"/>
      <c r="L384" s="291"/>
      <c r="M384" s="315"/>
      <c r="N384" s="316"/>
      <c r="O384" s="316"/>
      <c r="P384" s="290"/>
      <c r="Q384" s="316"/>
    </row>
    <row r="385" spans="1:17" s="82" customFormat="1" ht="24.95" customHeight="1">
      <c r="A385" s="284"/>
      <c r="B385" s="285"/>
      <c r="C385" s="285"/>
      <c r="D385" s="286"/>
      <c r="E385" s="516" t="s">
        <v>1684</v>
      </c>
      <c r="F385" s="511"/>
      <c r="G385" s="511"/>
      <c r="H385" s="511"/>
      <c r="I385" s="511"/>
      <c r="J385" s="511"/>
      <c r="K385" s="511"/>
      <c r="L385" s="291">
        <f>ROUNDDOWN(((32000*10*2)+(22000*15))*12/1000,0)</f>
        <v>11640</v>
      </c>
      <c r="M385" s="315">
        <f>+L385</f>
        <v>11640</v>
      </c>
      <c r="N385" s="316">
        <v>15480</v>
      </c>
      <c r="O385" s="316">
        <f t="shared" si="9"/>
        <v>-3840</v>
      </c>
      <c r="P385" s="290"/>
      <c r="Q385" s="316" t="s">
        <v>1479</v>
      </c>
    </row>
    <row r="386" spans="1:17" s="82" customFormat="1" ht="24.95" customHeight="1">
      <c r="A386" s="284"/>
      <c r="B386" s="285"/>
      <c r="C386" s="285"/>
      <c r="D386" s="286"/>
      <c r="E386" s="300"/>
      <c r="F386" s="296"/>
      <c r="G386" s="525" t="s">
        <v>1685</v>
      </c>
      <c r="H386" s="525"/>
      <c r="I386" s="525"/>
      <c r="J386" s="306"/>
      <c r="K386" s="306"/>
      <c r="L386" s="291"/>
      <c r="M386" s="315"/>
      <c r="N386" s="316"/>
      <c r="O386" s="316"/>
      <c r="P386" s="290"/>
      <c r="Q386" s="316"/>
    </row>
    <row r="387" spans="1:17" s="82" customFormat="1" ht="24.95" customHeight="1">
      <c r="A387" s="284"/>
      <c r="B387" s="285"/>
      <c r="C387" s="285"/>
      <c r="D387" s="286"/>
      <c r="E387" s="516" t="s">
        <v>1686</v>
      </c>
      <c r="F387" s="511"/>
      <c r="G387" s="511"/>
      <c r="H387" s="511"/>
      <c r="I387" s="511"/>
      <c r="J387" s="511"/>
      <c r="K387" s="511"/>
      <c r="L387" s="291">
        <f>ROUNDDOWN(((32000*5*2)+(22000*15))*12/1000*80%,0)</f>
        <v>6240</v>
      </c>
      <c r="M387" s="315">
        <f>+L387</f>
        <v>6240</v>
      </c>
      <c r="N387" s="316">
        <v>0</v>
      </c>
      <c r="O387" s="316">
        <f t="shared" ref="O387:O454" si="10">+M387-N387</f>
        <v>6240</v>
      </c>
      <c r="P387" s="290"/>
      <c r="Q387" s="316"/>
    </row>
    <row r="388" spans="1:17" s="82" customFormat="1" ht="24.95" customHeight="1">
      <c r="A388" s="284"/>
      <c r="B388" s="285"/>
      <c r="C388" s="285"/>
      <c r="D388" s="286"/>
      <c r="E388" s="292"/>
      <c r="F388" s="293"/>
      <c r="G388" s="510" t="s">
        <v>1126</v>
      </c>
      <c r="H388" s="510"/>
      <c r="I388" s="510"/>
      <c r="J388" s="296"/>
      <c r="K388" s="296"/>
      <c r="L388" s="291"/>
      <c r="M388" s="315"/>
      <c r="N388" s="316"/>
      <c r="O388" s="316"/>
      <c r="P388" s="290"/>
      <c r="Q388" s="316"/>
    </row>
    <row r="389" spans="1:17" s="82" customFormat="1" ht="24.95" customHeight="1">
      <c r="A389" s="284"/>
      <c r="B389" s="285"/>
      <c r="C389" s="285"/>
      <c r="D389" s="286"/>
      <c r="E389" s="516" t="s">
        <v>1687</v>
      </c>
      <c r="F389" s="511"/>
      <c r="G389" s="511"/>
      <c r="H389" s="511"/>
      <c r="I389" s="511"/>
      <c r="J389" s="511"/>
      <c r="K389" s="511"/>
      <c r="L389" s="291">
        <f>ROUNDDOWN(44000*8*2*0.012,0)</f>
        <v>8448</v>
      </c>
      <c r="M389" s="315">
        <f>+L389</f>
        <v>8448</v>
      </c>
      <c r="N389" s="316">
        <v>15840</v>
      </c>
      <c r="O389" s="316">
        <f t="shared" si="10"/>
        <v>-7392</v>
      </c>
      <c r="P389" s="290"/>
      <c r="Q389" s="316" t="s">
        <v>1479</v>
      </c>
    </row>
    <row r="390" spans="1:17" s="82" customFormat="1" ht="24.95" customHeight="1">
      <c r="A390" s="284"/>
      <c r="B390" s="285"/>
      <c r="C390" s="285"/>
      <c r="D390" s="286"/>
      <c r="E390" s="300"/>
      <c r="F390" s="296"/>
      <c r="G390" s="510" t="s">
        <v>1902</v>
      </c>
      <c r="H390" s="510"/>
      <c r="I390" s="510"/>
      <c r="J390" s="295"/>
      <c r="K390" s="295"/>
      <c r="L390" s="291"/>
      <c r="M390" s="315"/>
      <c r="N390" s="316"/>
      <c r="O390" s="316"/>
      <c r="P390" s="290"/>
      <c r="Q390" s="316"/>
    </row>
    <row r="391" spans="1:17" s="82" customFormat="1" ht="24.95" customHeight="1">
      <c r="A391" s="284"/>
      <c r="B391" s="285"/>
      <c r="C391" s="285"/>
      <c r="D391" s="286"/>
      <c r="E391" s="516" t="s">
        <v>1688</v>
      </c>
      <c r="F391" s="511"/>
      <c r="G391" s="511"/>
      <c r="H391" s="511"/>
      <c r="I391" s="511"/>
      <c r="J391" s="511"/>
      <c r="K391" s="511"/>
      <c r="L391" s="291">
        <f>ROUNDDOWN(44000*7*2*0.012*80%,0)</f>
        <v>5913</v>
      </c>
      <c r="M391" s="315">
        <f>+L391</f>
        <v>5913</v>
      </c>
      <c r="N391" s="316">
        <v>0</v>
      </c>
      <c r="O391" s="316">
        <f t="shared" si="10"/>
        <v>5913</v>
      </c>
      <c r="P391" s="290"/>
      <c r="Q391" s="316"/>
    </row>
    <row r="392" spans="1:17" s="82" customFormat="1" ht="24.95" customHeight="1">
      <c r="A392" s="284"/>
      <c r="B392" s="285"/>
      <c r="C392" s="285"/>
      <c r="D392" s="286"/>
      <c r="E392" s="509" t="s">
        <v>1002</v>
      </c>
      <c r="F392" s="510"/>
      <c r="G392" s="510"/>
      <c r="H392" s="510"/>
      <c r="I392" s="510"/>
      <c r="J392" s="511"/>
      <c r="K392" s="511"/>
      <c r="L392" s="291"/>
      <c r="M392" s="315"/>
      <c r="N392" s="316"/>
      <c r="O392" s="316"/>
      <c r="P392" s="290"/>
      <c r="Q392" s="316"/>
    </row>
    <row r="393" spans="1:17" s="82" customFormat="1" ht="24.95" customHeight="1">
      <c r="A393" s="284"/>
      <c r="B393" s="285"/>
      <c r="C393" s="285"/>
      <c r="D393" s="286"/>
      <c r="E393" s="292"/>
      <c r="F393" s="293"/>
      <c r="G393" s="510" t="s">
        <v>1003</v>
      </c>
      <c r="H393" s="510"/>
      <c r="I393" s="510"/>
      <c r="J393" s="296"/>
      <c r="K393" s="296"/>
      <c r="L393" s="291"/>
      <c r="M393" s="315"/>
      <c r="N393" s="316"/>
      <c r="O393" s="316"/>
      <c r="P393" s="290"/>
      <c r="Q393" s="316"/>
    </row>
    <row r="394" spans="1:17" s="82" customFormat="1" ht="24.95" customHeight="1">
      <c r="A394" s="284"/>
      <c r="B394" s="285"/>
      <c r="C394" s="285"/>
      <c r="D394" s="286"/>
      <c r="E394" s="516" t="s">
        <v>1689</v>
      </c>
      <c r="F394" s="511"/>
      <c r="G394" s="511"/>
      <c r="H394" s="511"/>
      <c r="I394" s="511"/>
      <c r="J394" s="511"/>
      <c r="K394" s="511"/>
      <c r="L394" s="291">
        <f>ROUNDDOWN(((50000*8)+(44000*5))*12/1000,0)</f>
        <v>7440</v>
      </c>
      <c r="M394" s="315">
        <f>+L394</f>
        <v>7440</v>
      </c>
      <c r="N394" s="316">
        <v>8640</v>
      </c>
      <c r="O394" s="316">
        <f t="shared" si="10"/>
        <v>-1200</v>
      </c>
      <c r="P394" s="290"/>
      <c r="Q394" s="316" t="s">
        <v>1665</v>
      </c>
    </row>
    <row r="395" spans="1:17" s="82" customFormat="1" ht="24.95" customHeight="1">
      <c r="A395" s="284"/>
      <c r="B395" s="285"/>
      <c r="C395" s="285"/>
      <c r="D395" s="286"/>
      <c r="E395" s="300"/>
      <c r="F395" s="296"/>
      <c r="G395" s="510" t="s">
        <v>1903</v>
      </c>
      <c r="H395" s="510"/>
      <c r="I395" s="510"/>
      <c r="J395" s="517"/>
      <c r="K395" s="295"/>
      <c r="L395" s="291"/>
      <c r="M395" s="315"/>
      <c r="N395" s="316"/>
      <c r="O395" s="316"/>
      <c r="P395" s="290"/>
      <c r="Q395" s="316"/>
    </row>
    <row r="396" spans="1:17" s="82" customFormat="1" ht="24.95" customHeight="1">
      <c r="A396" s="284"/>
      <c r="B396" s="285"/>
      <c r="C396" s="285"/>
      <c r="D396" s="286"/>
      <c r="E396" s="516" t="s">
        <v>1690</v>
      </c>
      <c r="F396" s="511"/>
      <c r="G396" s="511"/>
      <c r="H396" s="511"/>
      <c r="I396" s="511"/>
      <c r="J396" s="511"/>
      <c r="K396" s="511"/>
      <c r="L396" s="291">
        <f>ROUNDDOWN(((50000*1)+(44000*5))*12/1000*80%,0)</f>
        <v>2592</v>
      </c>
      <c r="M396" s="315">
        <f>+L396</f>
        <v>2592</v>
      </c>
      <c r="N396" s="316">
        <v>0</v>
      </c>
      <c r="O396" s="316">
        <f t="shared" si="10"/>
        <v>2592</v>
      </c>
      <c r="P396" s="290"/>
      <c r="Q396" s="316"/>
    </row>
    <row r="397" spans="1:17" s="82" customFormat="1" ht="24.95" customHeight="1">
      <c r="A397" s="284"/>
      <c r="B397" s="285"/>
      <c r="C397" s="285"/>
      <c r="D397" s="286"/>
      <c r="E397" s="300"/>
      <c r="F397" s="296"/>
      <c r="G397" s="510" t="s">
        <v>1904</v>
      </c>
      <c r="H397" s="510"/>
      <c r="I397" s="510"/>
      <c r="J397" s="517"/>
      <c r="K397" s="295"/>
      <c r="L397" s="291"/>
      <c r="M397" s="315"/>
      <c r="N397" s="316"/>
      <c r="O397" s="316"/>
      <c r="P397" s="290"/>
      <c r="Q397" s="316"/>
    </row>
    <row r="398" spans="1:17" s="82" customFormat="1" ht="24.95" customHeight="1">
      <c r="A398" s="284"/>
      <c r="B398" s="285"/>
      <c r="C398" s="285"/>
      <c r="D398" s="286"/>
      <c r="E398" s="516" t="s">
        <v>1691</v>
      </c>
      <c r="F398" s="511"/>
      <c r="G398" s="511"/>
      <c r="H398" s="511"/>
      <c r="I398" s="511"/>
      <c r="J398" s="511"/>
      <c r="K398" s="511"/>
      <c r="L398" s="291">
        <f>ROUNDDOWN(((50000*1)+(44000*5))*12/1000*50%,0)</f>
        <v>1620</v>
      </c>
      <c r="M398" s="315">
        <f>+L398</f>
        <v>1620</v>
      </c>
      <c r="N398" s="316">
        <v>0</v>
      </c>
      <c r="O398" s="316">
        <f t="shared" si="10"/>
        <v>1620</v>
      </c>
      <c r="P398" s="290"/>
      <c r="Q398" s="316"/>
    </row>
    <row r="399" spans="1:17" s="82" customFormat="1" ht="24.95" customHeight="1">
      <c r="A399" s="284"/>
      <c r="B399" s="285"/>
      <c r="C399" s="285"/>
      <c r="D399" s="286"/>
      <c r="E399" s="292"/>
      <c r="F399" s="293"/>
      <c r="G399" s="510" t="s">
        <v>1692</v>
      </c>
      <c r="H399" s="510"/>
      <c r="I399" s="510"/>
      <c r="J399" s="296"/>
      <c r="K399" s="296"/>
      <c r="L399" s="291"/>
      <c r="M399" s="315"/>
      <c r="N399" s="316"/>
      <c r="O399" s="316"/>
      <c r="P399" s="290"/>
      <c r="Q399" s="316"/>
    </row>
    <row r="400" spans="1:17" s="82" customFormat="1" ht="24.95" customHeight="1">
      <c r="A400" s="284"/>
      <c r="B400" s="285"/>
      <c r="C400" s="285"/>
      <c r="D400" s="286"/>
      <c r="E400" s="516" t="s">
        <v>1693</v>
      </c>
      <c r="F400" s="511"/>
      <c r="G400" s="511"/>
      <c r="H400" s="511"/>
      <c r="I400" s="511"/>
      <c r="J400" s="511"/>
      <c r="K400" s="511"/>
      <c r="L400" s="291">
        <f>ROUNDDOWN(34000*8*2*0.012,0)</f>
        <v>6528</v>
      </c>
      <c r="M400" s="315">
        <f>+L400</f>
        <v>6528</v>
      </c>
      <c r="N400" s="316">
        <v>13872</v>
      </c>
      <c r="O400" s="316">
        <f t="shared" si="10"/>
        <v>-7344</v>
      </c>
      <c r="P400" s="290"/>
      <c r="Q400" s="316" t="s">
        <v>1665</v>
      </c>
    </row>
    <row r="401" spans="1:17" s="82" customFormat="1" ht="24.95" customHeight="1">
      <c r="A401" s="284"/>
      <c r="B401" s="285"/>
      <c r="C401" s="285"/>
      <c r="D401" s="286"/>
      <c r="E401" s="300"/>
      <c r="F401" s="296"/>
      <c r="G401" s="510" t="s">
        <v>1905</v>
      </c>
      <c r="H401" s="510"/>
      <c r="I401" s="510"/>
      <c r="J401" s="517"/>
      <c r="K401" s="295"/>
      <c r="L401" s="291"/>
      <c r="M401" s="315"/>
      <c r="N401" s="316"/>
      <c r="O401" s="316"/>
      <c r="P401" s="290"/>
      <c r="Q401" s="316"/>
    </row>
    <row r="402" spans="1:17" s="82" customFormat="1" ht="24.95" customHeight="1">
      <c r="A402" s="284"/>
      <c r="B402" s="285"/>
      <c r="C402" s="285"/>
      <c r="D402" s="286"/>
      <c r="E402" s="516" t="s">
        <v>1694</v>
      </c>
      <c r="F402" s="511"/>
      <c r="G402" s="511"/>
      <c r="H402" s="511"/>
      <c r="I402" s="511"/>
      <c r="J402" s="511"/>
      <c r="K402" s="511"/>
      <c r="L402" s="291">
        <f>ROUNDDOWN(34000*6*2*0.012*80%,0)</f>
        <v>3916</v>
      </c>
      <c r="M402" s="315">
        <f>+L402</f>
        <v>3916</v>
      </c>
      <c r="N402" s="316">
        <v>0</v>
      </c>
      <c r="O402" s="316">
        <f t="shared" si="10"/>
        <v>3916</v>
      </c>
      <c r="P402" s="290"/>
      <c r="Q402" s="316"/>
    </row>
    <row r="403" spans="1:17" s="82" customFormat="1" ht="24.95" customHeight="1">
      <c r="A403" s="284"/>
      <c r="B403" s="285"/>
      <c r="C403" s="285"/>
      <c r="D403" s="286"/>
      <c r="E403" s="300"/>
      <c r="F403" s="296"/>
      <c r="G403" s="510" t="s">
        <v>1906</v>
      </c>
      <c r="H403" s="510"/>
      <c r="I403" s="510"/>
      <c r="J403" s="517"/>
      <c r="K403" s="295"/>
      <c r="L403" s="291"/>
      <c r="M403" s="315"/>
      <c r="N403" s="316"/>
      <c r="O403" s="316"/>
      <c r="P403" s="290"/>
      <c r="Q403" s="316"/>
    </row>
    <row r="404" spans="1:17" s="82" customFormat="1" ht="24.95" customHeight="1">
      <c r="A404" s="284"/>
      <c r="B404" s="285"/>
      <c r="C404" s="285"/>
      <c r="D404" s="286"/>
      <c r="E404" s="516" t="s">
        <v>1695</v>
      </c>
      <c r="F404" s="511"/>
      <c r="G404" s="511"/>
      <c r="H404" s="511"/>
      <c r="I404" s="511"/>
      <c r="J404" s="511"/>
      <c r="K404" s="511"/>
      <c r="L404" s="291">
        <f>ROUNDDOWN(34000*3*2*0.012*50%,0)</f>
        <v>1224</v>
      </c>
      <c r="M404" s="315">
        <f>+L404</f>
        <v>1224</v>
      </c>
      <c r="N404" s="316">
        <v>0</v>
      </c>
      <c r="O404" s="316">
        <f t="shared" si="10"/>
        <v>1224</v>
      </c>
      <c r="P404" s="290"/>
      <c r="Q404" s="316"/>
    </row>
    <row r="405" spans="1:17" s="82" customFormat="1" ht="24.95" customHeight="1">
      <c r="A405" s="284"/>
      <c r="B405" s="285"/>
      <c r="C405" s="285"/>
      <c r="D405" s="286"/>
      <c r="E405" s="509" t="s">
        <v>1004</v>
      </c>
      <c r="F405" s="510"/>
      <c r="G405" s="510"/>
      <c r="H405" s="510"/>
      <c r="I405" s="510"/>
      <c r="J405" s="511"/>
      <c r="K405" s="511"/>
      <c r="L405" s="291"/>
      <c r="M405" s="315"/>
      <c r="N405" s="316"/>
      <c r="O405" s="316"/>
      <c r="P405" s="290"/>
      <c r="Q405" s="316"/>
    </row>
    <row r="406" spans="1:17" s="82" customFormat="1" ht="24.95" customHeight="1">
      <c r="A406" s="284"/>
      <c r="B406" s="285"/>
      <c r="C406" s="285"/>
      <c r="D406" s="286"/>
      <c r="E406" s="292"/>
      <c r="F406" s="293"/>
      <c r="G406" s="510" t="s">
        <v>1087</v>
      </c>
      <c r="H406" s="510"/>
      <c r="I406" s="510"/>
      <c r="J406" s="296"/>
      <c r="K406" s="296"/>
      <c r="L406" s="291"/>
      <c r="M406" s="315"/>
      <c r="N406" s="316"/>
      <c r="O406" s="316"/>
      <c r="P406" s="290"/>
      <c r="Q406" s="316"/>
    </row>
    <row r="407" spans="1:17" s="82" customFormat="1" ht="24.95" customHeight="1">
      <c r="A407" s="284"/>
      <c r="B407" s="285"/>
      <c r="C407" s="285"/>
      <c r="D407" s="286"/>
      <c r="E407" s="516" t="s">
        <v>1696</v>
      </c>
      <c r="F407" s="511"/>
      <c r="G407" s="511"/>
      <c r="H407" s="511"/>
      <c r="I407" s="511"/>
      <c r="J407" s="511"/>
      <c r="K407" s="511"/>
      <c r="L407" s="291">
        <f>ROUNDDOWN(50000*10*3*0.012,0)</f>
        <v>18000</v>
      </c>
      <c r="M407" s="315">
        <f>+L407</f>
        <v>18000</v>
      </c>
      <c r="N407" s="316">
        <v>36000</v>
      </c>
      <c r="O407" s="316">
        <f t="shared" si="10"/>
        <v>-18000</v>
      </c>
      <c r="P407" s="290"/>
      <c r="Q407" s="316" t="s">
        <v>1665</v>
      </c>
    </row>
    <row r="408" spans="1:17" s="82" customFormat="1" ht="24.95" customHeight="1">
      <c r="A408" s="284"/>
      <c r="B408" s="285"/>
      <c r="C408" s="285"/>
      <c r="D408" s="286"/>
      <c r="E408" s="300"/>
      <c r="F408" s="296"/>
      <c r="G408" s="510" t="s">
        <v>1480</v>
      </c>
      <c r="H408" s="510"/>
      <c r="I408" s="510"/>
      <c r="J408" s="295"/>
      <c r="K408" s="295"/>
      <c r="L408" s="291"/>
      <c r="M408" s="315"/>
      <c r="N408" s="316"/>
      <c r="O408" s="316"/>
      <c r="P408" s="290"/>
      <c r="Q408" s="316"/>
    </row>
    <row r="409" spans="1:17" s="82" customFormat="1" ht="24.95" customHeight="1">
      <c r="A409" s="284"/>
      <c r="B409" s="285"/>
      <c r="C409" s="285"/>
      <c r="D409" s="286"/>
      <c r="E409" s="516" t="s">
        <v>1697</v>
      </c>
      <c r="F409" s="511"/>
      <c r="G409" s="511"/>
      <c r="H409" s="511"/>
      <c r="I409" s="511"/>
      <c r="J409" s="511"/>
      <c r="K409" s="511"/>
      <c r="L409" s="291">
        <f>ROUNDDOWN(50000*5*3*0.012*80%,0)</f>
        <v>7200</v>
      </c>
      <c r="M409" s="315">
        <f>+L409</f>
        <v>7200</v>
      </c>
      <c r="N409" s="316">
        <v>0</v>
      </c>
      <c r="O409" s="316">
        <f t="shared" si="10"/>
        <v>7200</v>
      </c>
      <c r="P409" s="290"/>
      <c r="Q409" s="316"/>
    </row>
    <row r="410" spans="1:17" s="82" customFormat="1" ht="24.95" customHeight="1">
      <c r="A410" s="284"/>
      <c r="B410" s="285"/>
      <c r="C410" s="285"/>
      <c r="D410" s="286"/>
      <c r="E410" s="300"/>
      <c r="F410" s="296"/>
      <c r="G410" s="510" t="s">
        <v>1653</v>
      </c>
      <c r="H410" s="510"/>
      <c r="I410" s="510"/>
      <c r="J410" s="295"/>
      <c r="K410" s="295"/>
      <c r="L410" s="291"/>
      <c r="M410" s="315"/>
      <c r="N410" s="316"/>
      <c r="O410" s="316"/>
      <c r="P410" s="290"/>
      <c r="Q410" s="316"/>
    </row>
    <row r="411" spans="1:17" s="82" customFormat="1" ht="24.95" customHeight="1">
      <c r="A411" s="284"/>
      <c r="B411" s="285"/>
      <c r="C411" s="285"/>
      <c r="D411" s="286"/>
      <c r="E411" s="516" t="s">
        <v>1698</v>
      </c>
      <c r="F411" s="511"/>
      <c r="G411" s="511"/>
      <c r="H411" s="511"/>
      <c r="I411" s="511"/>
      <c r="J411" s="511"/>
      <c r="K411" s="511"/>
      <c r="L411" s="291">
        <f>ROUNDDOWN(50000*5*3*0.012*50%,0)</f>
        <v>4500</v>
      </c>
      <c r="M411" s="315">
        <f>+L411</f>
        <v>4500</v>
      </c>
      <c r="N411" s="316">
        <v>0</v>
      </c>
      <c r="O411" s="316">
        <f t="shared" si="10"/>
        <v>4500</v>
      </c>
      <c r="P411" s="290"/>
      <c r="Q411" s="316"/>
    </row>
    <row r="412" spans="1:17" s="82" customFormat="1" ht="24.95" customHeight="1">
      <c r="A412" s="284"/>
      <c r="B412" s="285"/>
      <c r="C412" s="285"/>
      <c r="D412" s="286"/>
      <c r="E412" s="509" t="s">
        <v>1005</v>
      </c>
      <c r="F412" s="510"/>
      <c r="G412" s="510"/>
      <c r="H412" s="510"/>
      <c r="I412" s="510"/>
      <c r="J412" s="511"/>
      <c r="K412" s="511"/>
      <c r="L412" s="291"/>
      <c r="M412" s="315"/>
      <c r="N412" s="316"/>
      <c r="O412" s="316"/>
      <c r="P412" s="290"/>
      <c r="Q412" s="316"/>
    </row>
    <row r="413" spans="1:17" s="82" customFormat="1" ht="24.95" customHeight="1">
      <c r="A413" s="284"/>
      <c r="B413" s="285"/>
      <c r="C413" s="285"/>
      <c r="D413" s="286"/>
      <c r="E413" s="292"/>
      <c r="F413" s="293"/>
      <c r="G413" s="523" t="s">
        <v>1087</v>
      </c>
      <c r="H413" s="523"/>
      <c r="I413" s="523"/>
      <c r="J413" s="296"/>
      <c r="K413" s="296"/>
      <c r="L413" s="291"/>
      <c r="M413" s="315"/>
      <c r="N413" s="316"/>
      <c r="O413" s="316"/>
      <c r="P413" s="290"/>
      <c r="Q413" s="316"/>
    </row>
    <row r="414" spans="1:17" s="82" customFormat="1" ht="24.95" customHeight="1">
      <c r="A414" s="284"/>
      <c r="B414" s="285"/>
      <c r="C414" s="285"/>
      <c r="D414" s="304"/>
      <c r="E414" s="516" t="s">
        <v>1699</v>
      </c>
      <c r="F414" s="518"/>
      <c r="G414" s="518"/>
      <c r="H414" s="518"/>
      <c r="I414" s="518"/>
      <c r="J414" s="518"/>
      <c r="K414" s="518"/>
      <c r="L414" s="291">
        <f>ROUNDDOWN(50000*14*0.012,0)</f>
        <v>8400</v>
      </c>
      <c r="M414" s="315">
        <f>+L414</f>
        <v>8400</v>
      </c>
      <c r="N414" s="316">
        <v>10800</v>
      </c>
      <c r="O414" s="316">
        <f t="shared" si="10"/>
        <v>-2400</v>
      </c>
      <c r="P414" s="290"/>
      <c r="Q414" s="316" t="s">
        <v>1665</v>
      </c>
    </row>
    <row r="415" spans="1:17" s="82" customFormat="1" ht="24.95" customHeight="1">
      <c r="A415" s="284"/>
      <c r="B415" s="285"/>
      <c r="C415" s="285"/>
      <c r="D415" s="304"/>
      <c r="E415" s="300"/>
      <c r="F415" s="307"/>
      <c r="G415" s="523" t="s">
        <v>1480</v>
      </c>
      <c r="H415" s="523"/>
      <c r="I415" s="523"/>
      <c r="J415" s="295"/>
      <c r="K415" s="295"/>
      <c r="L415" s="291"/>
      <c r="M415" s="315"/>
      <c r="N415" s="316"/>
      <c r="O415" s="316"/>
      <c r="P415" s="290"/>
      <c r="Q415" s="316"/>
    </row>
    <row r="416" spans="1:17" s="82" customFormat="1" ht="24.95" customHeight="1">
      <c r="A416" s="284"/>
      <c r="B416" s="285"/>
      <c r="C416" s="285"/>
      <c r="D416" s="304"/>
      <c r="E416" s="516" t="s">
        <v>1700</v>
      </c>
      <c r="F416" s="518"/>
      <c r="G416" s="518"/>
      <c r="H416" s="518"/>
      <c r="I416" s="518"/>
      <c r="J416" s="518"/>
      <c r="K416" s="518"/>
      <c r="L416" s="291">
        <f>ROUNDDOWN(50000*2*0.012*80%,0)</f>
        <v>960</v>
      </c>
      <c r="M416" s="315">
        <f>+L416</f>
        <v>960</v>
      </c>
      <c r="N416" s="316">
        <v>0</v>
      </c>
      <c r="O416" s="316">
        <f t="shared" si="10"/>
        <v>960</v>
      </c>
      <c r="P416" s="290"/>
      <c r="Q416" s="316"/>
    </row>
    <row r="417" spans="1:17" s="82" customFormat="1" ht="24.95" customHeight="1">
      <c r="A417" s="284"/>
      <c r="B417" s="285"/>
      <c r="C417" s="285"/>
      <c r="D417" s="304"/>
      <c r="E417" s="300"/>
      <c r="F417" s="307"/>
      <c r="G417" s="523" t="s">
        <v>1653</v>
      </c>
      <c r="H417" s="523"/>
      <c r="I417" s="523"/>
      <c r="J417" s="295"/>
      <c r="K417" s="295"/>
      <c r="L417" s="291"/>
      <c r="M417" s="315"/>
      <c r="N417" s="316"/>
      <c r="O417" s="316"/>
      <c r="P417" s="290"/>
      <c r="Q417" s="316"/>
    </row>
    <row r="418" spans="1:17" s="82" customFormat="1" ht="24.95" customHeight="1">
      <c r="A418" s="284"/>
      <c r="B418" s="285"/>
      <c r="C418" s="285"/>
      <c r="D418" s="304"/>
      <c r="E418" s="516" t="s">
        <v>1701</v>
      </c>
      <c r="F418" s="518"/>
      <c r="G418" s="518"/>
      <c r="H418" s="518"/>
      <c r="I418" s="518"/>
      <c r="J418" s="518"/>
      <c r="K418" s="518"/>
      <c r="L418" s="291">
        <f>ROUNDDOWN(50000*2*0.012*50%,0)</f>
        <v>600</v>
      </c>
      <c r="M418" s="315">
        <f>+L418</f>
        <v>600</v>
      </c>
      <c r="N418" s="316">
        <v>0</v>
      </c>
      <c r="O418" s="316">
        <f t="shared" si="10"/>
        <v>600</v>
      </c>
      <c r="P418" s="290"/>
      <c r="Q418" s="316"/>
    </row>
    <row r="419" spans="1:17" s="82" customFormat="1" ht="24.95" customHeight="1">
      <c r="A419" s="284"/>
      <c r="B419" s="285"/>
      <c r="C419" s="285"/>
      <c r="D419" s="304"/>
      <c r="E419" s="509" t="s">
        <v>1006</v>
      </c>
      <c r="F419" s="510"/>
      <c r="G419" s="510"/>
      <c r="H419" s="510"/>
      <c r="I419" s="510"/>
      <c r="J419" s="511"/>
      <c r="K419" s="511"/>
      <c r="L419" s="291"/>
      <c r="M419" s="315"/>
      <c r="N419" s="316"/>
      <c r="O419" s="316"/>
      <c r="P419" s="290"/>
      <c r="Q419" s="316"/>
    </row>
    <row r="420" spans="1:17" s="82" customFormat="1" ht="24.95" customHeight="1">
      <c r="A420" s="284"/>
      <c r="B420" s="285"/>
      <c r="C420" s="285"/>
      <c r="D420" s="304"/>
      <c r="E420" s="292"/>
      <c r="F420" s="293"/>
      <c r="G420" s="523" t="s">
        <v>1087</v>
      </c>
      <c r="H420" s="523"/>
      <c r="I420" s="523"/>
      <c r="J420" s="296"/>
      <c r="K420" s="296"/>
      <c r="L420" s="291"/>
      <c r="M420" s="315"/>
      <c r="N420" s="316"/>
      <c r="O420" s="316"/>
      <c r="P420" s="290"/>
      <c r="Q420" s="316"/>
    </row>
    <row r="421" spans="1:17" s="82" customFormat="1" ht="24.95" customHeight="1">
      <c r="A421" s="284"/>
      <c r="B421" s="285"/>
      <c r="C421" s="285"/>
      <c r="D421" s="304"/>
      <c r="E421" s="516" t="s">
        <v>1702</v>
      </c>
      <c r="F421" s="518"/>
      <c r="G421" s="518"/>
      <c r="H421" s="518"/>
      <c r="I421" s="518"/>
      <c r="J421" s="518"/>
      <c r="K421" s="518"/>
      <c r="L421" s="291">
        <f>ROUNDDOWN(27000*13*2*0.012,0)</f>
        <v>8424</v>
      </c>
      <c r="M421" s="315">
        <f>+L421</f>
        <v>8424</v>
      </c>
      <c r="N421" s="316">
        <v>11664</v>
      </c>
      <c r="O421" s="316">
        <f t="shared" si="10"/>
        <v>-3240</v>
      </c>
      <c r="P421" s="290"/>
      <c r="Q421" s="316" t="s">
        <v>1665</v>
      </c>
    </row>
    <row r="422" spans="1:17" s="82" customFormat="1" ht="24.95" customHeight="1">
      <c r="A422" s="284"/>
      <c r="B422" s="285"/>
      <c r="C422" s="285"/>
      <c r="D422" s="304"/>
      <c r="E422" s="300"/>
      <c r="F422" s="307"/>
      <c r="G422" s="523" t="s">
        <v>1480</v>
      </c>
      <c r="H422" s="523"/>
      <c r="I422" s="523"/>
      <c r="J422" s="295"/>
      <c r="K422" s="295"/>
      <c r="L422" s="291"/>
      <c r="M422" s="315"/>
      <c r="N422" s="316"/>
      <c r="O422" s="316"/>
      <c r="P422" s="290"/>
      <c r="Q422" s="316"/>
    </row>
    <row r="423" spans="1:17" s="82" customFormat="1" ht="24.95" customHeight="1">
      <c r="A423" s="284"/>
      <c r="B423" s="285"/>
      <c r="C423" s="285"/>
      <c r="D423" s="304"/>
      <c r="E423" s="516" t="s">
        <v>1703</v>
      </c>
      <c r="F423" s="518"/>
      <c r="G423" s="518"/>
      <c r="H423" s="518"/>
      <c r="I423" s="518"/>
      <c r="J423" s="518"/>
      <c r="K423" s="518"/>
      <c r="L423" s="291">
        <f>ROUNDDOWN(27000*3*2*0.012*80%,0)</f>
        <v>1555</v>
      </c>
      <c r="M423" s="315">
        <f>+L423</f>
        <v>1555</v>
      </c>
      <c r="N423" s="316">
        <v>0</v>
      </c>
      <c r="O423" s="316">
        <f t="shared" si="10"/>
        <v>1555</v>
      </c>
      <c r="P423" s="290"/>
      <c r="Q423" s="316"/>
    </row>
    <row r="424" spans="1:17" s="82" customFormat="1" ht="24.95" customHeight="1">
      <c r="A424" s="284"/>
      <c r="B424" s="285"/>
      <c r="C424" s="285"/>
      <c r="D424" s="304"/>
      <c r="E424" s="300"/>
      <c r="F424" s="307"/>
      <c r="G424" s="523" t="s">
        <v>1653</v>
      </c>
      <c r="H424" s="523"/>
      <c r="I424" s="523"/>
      <c r="J424" s="295"/>
      <c r="K424" s="295"/>
      <c r="L424" s="291"/>
      <c r="M424" s="315"/>
      <c r="N424" s="316"/>
      <c r="O424" s="316"/>
      <c r="P424" s="290"/>
      <c r="Q424" s="316"/>
    </row>
    <row r="425" spans="1:17" s="82" customFormat="1" ht="24.95" customHeight="1">
      <c r="A425" s="284"/>
      <c r="B425" s="285"/>
      <c r="C425" s="285"/>
      <c r="D425" s="304"/>
      <c r="E425" s="516" t="s">
        <v>1704</v>
      </c>
      <c r="F425" s="518"/>
      <c r="G425" s="518"/>
      <c r="H425" s="518"/>
      <c r="I425" s="518"/>
      <c r="J425" s="518"/>
      <c r="K425" s="518"/>
      <c r="L425" s="291">
        <f>ROUNDDOWN(27000*2*2*0.012*50%,0)</f>
        <v>648</v>
      </c>
      <c r="M425" s="315">
        <f>+L425</f>
        <v>648</v>
      </c>
      <c r="N425" s="316">
        <v>0</v>
      </c>
      <c r="O425" s="316">
        <f t="shared" si="10"/>
        <v>648</v>
      </c>
      <c r="P425" s="290"/>
      <c r="Q425" s="316"/>
    </row>
    <row r="426" spans="1:17" s="82" customFormat="1" ht="24.95" customHeight="1">
      <c r="A426" s="284"/>
      <c r="B426" s="285"/>
      <c r="C426" s="285"/>
      <c r="D426" s="304"/>
      <c r="E426" s="509" t="s">
        <v>1007</v>
      </c>
      <c r="F426" s="510"/>
      <c r="G426" s="510"/>
      <c r="H426" s="510"/>
      <c r="I426" s="510"/>
      <c r="J426" s="511"/>
      <c r="K426" s="511"/>
      <c r="L426" s="291"/>
      <c r="M426" s="315"/>
      <c r="N426" s="316"/>
      <c r="O426" s="316"/>
      <c r="P426" s="290"/>
      <c r="Q426" s="316"/>
    </row>
    <row r="427" spans="1:17" s="82" customFormat="1" ht="24.95" customHeight="1">
      <c r="A427" s="284"/>
      <c r="B427" s="285"/>
      <c r="C427" s="285"/>
      <c r="D427" s="304"/>
      <c r="E427" s="292"/>
      <c r="F427" s="293"/>
      <c r="G427" s="523" t="s">
        <v>1907</v>
      </c>
      <c r="H427" s="523"/>
      <c r="I427" s="523"/>
      <c r="J427" s="296"/>
      <c r="K427" s="296"/>
      <c r="L427" s="291"/>
      <c r="M427" s="315"/>
      <c r="N427" s="316"/>
      <c r="O427" s="316"/>
      <c r="P427" s="290"/>
      <c r="Q427" s="316"/>
    </row>
    <row r="428" spans="1:17" s="82" customFormat="1" ht="24.95" customHeight="1">
      <c r="A428" s="284"/>
      <c r="B428" s="285"/>
      <c r="C428" s="285"/>
      <c r="D428" s="304"/>
      <c r="E428" s="516" t="s">
        <v>1705</v>
      </c>
      <c r="F428" s="518"/>
      <c r="G428" s="518"/>
      <c r="H428" s="518"/>
      <c r="I428" s="518"/>
      <c r="J428" s="518"/>
      <c r="K428" s="518"/>
      <c r="L428" s="291">
        <f>ROUNDDOWN(50000*10*2*0.012,0)</f>
        <v>12000</v>
      </c>
      <c r="M428" s="315">
        <f>+L428</f>
        <v>12000</v>
      </c>
      <c r="N428" s="316">
        <v>20400</v>
      </c>
      <c r="O428" s="316">
        <f t="shared" si="10"/>
        <v>-8400</v>
      </c>
      <c r="P428" s="290"/>
      <c r="Q428" s="316" t="s">
        <v>1665</v>
      </c>
    </row>
    <row r="429" spans="1:17" s="82" customFormat="1" ht="24.95" customHeight="1">
      <c r="A429" s="284"/>
      <c r="B429" s="285"/>
      <c r="C429" s="285"/>
      <c r="D429" s="304"/>
      <c r="E429" s="300"/>
      <c r="F429" s="307"/>
      <c r="G429" s="523" t="s">
        <v>1908</v>
      </c>
      <c r="H429" s="523"/>
      <c r="I429" s="523"/>
      <c r="J429" s="308"/>
      <c r="K429" s="308"/>
      <c r="L429" s="291"/>
      <c r="M429" s="315"/>
      <c r="N429" s="316"/>
      <c r="O429" s="316"/>
      <c r="P429" s="290"/>
      <c r="Q429" s="316"/>
    </row>
    <row r="430" spans="1:17" s="82" customFormat="1" ht="24.95" customHeight="1">
      <c r="A430" s="284"/>
      <c r="B430" s="285"/>
      <c r="C430" s="285"/>
      <c r="D430" s="304"/>
      <c r="E430" s="516" t="s">
        <v>1706</v>
      </c>
      <c r="F430" s="518"/>
      <c r="G430" s="518"/>
      <c r="H430" s="518"/>
      <c r="I430" s="518"/>
      <c r="J430" s="518"/>
      <c r="K430" s="518"/>
      <c r="L430" s="291">
        <f>ROUNDDOWN(50000*6*2*0.012*80%,0)</f>
        <v>5760</v>
      </c>
      <c r="M430" s="315">
        <f>+L430</f>
        <v>5760</v>
      </c>
      <c r="N430" s="316">
        <v>0</v>
      </c>
      <c r="O430" s="316">
        <f t="shared" si="10"/>
        <v>5760</v>
      </c>
      <c r="P430" s="290"/>
      <c r="Q430" s="316"/>
    </row>
    <row r="431" spans="1:17" s="82" customFormat="1" ht="24.95" customHeight="1">
      <c r="A431" s="284"/>
      <c r="B431" s="285"/>
      <c r="C431" s="285"/>
      <c r="D431" s="304"/>
      <c r="E431" s="300"/>
      <c r="F431" s="307"/>
      <c r="G431" s="523" t="s">
        <v>1909</v>
      </c>
      <c r="H431" s="523"/>
      <c r="I431" s="523"/>
      <c r="J431" s="308"/>
      <c r="K431" s="308"/>
      <c r="L431" s="291"/>
      <c r="M431" s="315"/>
      <c r="N431" s="316"/>
      <c r="O431" s="316"/>
      <c r="P431" s="290"/>
      <c r="Q431" s="316"/>
    </row>
    <row r="432" spans="1:17" s="82" customFormat="1" ht="24.95" customHeight="1">
      <c r="A432" s="284"/>
      <c r="B432" s="285"/>
      <c r="C432" s="285"/>
      <c r="D432" s="304"/>
      <c r="E432" s="300"/>
      <c r="F432" s="518" t="s">
        <v>1707</v>
      </c>
      <c r="G432" s="518"/>
      <c r="H432" s="518"/>
      <c r="I432" s="518"/>
      <c r="J432" s="518"/>
      <c r="K432" s="518"/>
      <c r="L432" s="291">
        <f>ROUNDDOWN(50000*1*2*0.012*50%,0)</f>
        <v>600</v>
      </c>
      <c r="M432" s="315">
        <f>+L432</f>
        <v>600</v>
      </c>
      <c r="N432" s="316">
        <v>0</v>
      </c>
      <c r="O432" s="316">
        <f t="shared" si="10"/>
        <v>600</v>
      </c>
      <c r="P432" s="290"/>
      <c r="Q432" s="316"/>
    </row>
    <row r="433" spans="1:17" s="82" customFormat="1" ht="24.95" customHeight="1">
      <c r="A433" s="284"/>
      <c r="B433" s="285"/>
      <c r="C433" s="285"/>
      <c r="D433" s="304"/>
      <c r="E433" s="509" t="s">
        <v>1008</v>
      </c>
      <c r="F433" s="510"/>
      <c r="G433" s="510"/>
      <c r="H433" s="510"/>
      <c r="I433" s="510"/>
      <c r="J433" s="511"/>
      <c r="K433" s="511"/>
      <c r="L433" s="291"/>
      <c r="M433" s="315"/>
      <c r="N433" s="316"/>
      <c r="O433" s="316"/>
      <c r="P433" s="290"/>
      <c r="Q433" s="316"/>
    </row>
    <row r="434" spans="1:17" s="82" customFormat="1" ht="24.95" customHeight="1">
      <c r="A434" s="284"/>
      <c r="B434" s="285"/>
      <c r="C434" s="285"/>
      <c r="D434" s="304"/>
      <c r="E434" s="292"/>
      <c r="F434" s="293"/>
      <c r="G434" s="510" t="s">
        <v>1910</v>
      </c>
      <c r="H434" s="510"/>
      <c r="I434" s="510"/>
      <c r="J434" s="296"/>
      <c r="K434" s="296"/>
      <c r="L434" s="291"/>
      <c r="M434" s="315"/>
      <c r="N434" s="316"/>
      <c r="O434" s="316"/>
      <c r="P434" s="290"/>
      <c r="Q434" s="316"/>
    </row>
    <row r="435" spans="1:17" s="82" customFormat="1" ht="24.95" customHeight="1">
      <c r="A435" s="284"/>
      <c r="B435" s="285"/>
      <c r="C435" s="285"/>
      <c r="D435" s="304"/>
      <c r="E435" s="509"/>
      <c r="F435" s="510"/>
      <c r="G435" s="510"/>
      <c r="H435" s="510"/>
      <c r="I435" s="510"/>
      <c r="J435" s="511" t="s">
        <v>1708</v>
      </c>
      <c r="K435" s="511"/>
      <c r="L435" s="291">
        <f>ROUNDDOWN(50000*13*0.012,0)</f>
        <v>7800</v>
      </c>
      <c r="M435" s="315">
        <f>+L435</f>
        <v>7800</v>
      </c>
      <c r="N435" s="316">
        <v>10200</v>
      </c>
      <c r="O435" s="316">
        <f t="shared" si="10"/>
        <v>-2400</v>
      </c>
      <c r="P435" s="290"/>
      <c r="Q435" s="316" t="s">
        <v>1665</v>
      </c>
    </row>
    <row r="436" spans="1:17" s="82" customFormat="1" ht="24.95" customHeight="1">
      <c r="A436" s="284"/>
      <c r="B436" s="285"/>
      <c r="C436" s="285"/>
      <c r="D436" s="304"/>
      <c r="E436" s="292"/>
      <c r="F436" s="293"/>
      <c r="G436" s="510" t="s">
        <v>1709</v>
      </c>
      <c r="H436" s="510"/>
      <c r="I436" s="510"/>
      <c r="J436" s="308"/>
      <c r="K436" s="308"/>
      <c r="L436" s="291"/>
      <c r="M436" s="315"/>
      <c r="N436" s="316"/>
      <c r="O436" s="316"/>
      <c r="P436" s="290"/>
      <c r="Q436" s="316"/>
    </row>
    <row r="437" spans="1:17" s="82" customFormat="1" ht="24.95" customHeight="1">
      <c r="A437" s="284"/>
      <c r="B437" s="285"/>
      <c r="C437" s="285"/>
      <c r="D437" s="304"/>
      <c r="E437" s="516" t="s">
        <v>1710</v>
      </c>
      <c r="F437" s="511"/>
      <c r="G437" s="511"/>
      <c r="H437" s="511"/>
      <c r="I437" s="511"/>
      <c r="J437" s="511"/>
      <c r="K437" s="511"/>
      <c r="L437" s="291">
        <f>ROUNDDOWN(50000*1*0.012*80%,0)</f>
        <v>480</v>
      </c>
      <c r="M437" s="315">
        <f>+L437</f>
        <v>480</v>
      </c>
      <c r="N437" s="316">
        <v>0</v>
      </c>
      <c r="O437" s="316">
        <f t="shared" si="10"/>
        <v>480</v>
      </c>
      <c r="P437" s="290"/>
      <c r="Q437" s="316"/>
    </row>
    <row r="438" spans="1:17" s="82" customFormat="1" ht="24.95" customHeight="1">
      <c r="A438" s="284"/>
      <c r="B438" s="285"/>
      <c r="C438" s="285"/>
      <c r="D438" s="304"/>
      <c r="E438" s="292"/>
      <c r="F438" s="293"/>
      <c r="G438" s="510" t="s">
        <v>1711</v>
      </c>
      <c r="H438" s="510"/>
      <c r="I438" s="510"/>
      <c r="J438" s="308"/>
      <c r="K438" s="308"/>
      <c r="L438" s="291"/>
      <c r="M438" s="315"/>
      <c r="N438" s="316"/>
      <c r="O438" s="316"/>
      <c r="P438" s="290"/>
      <c r="Q438" s="316"/>
    </row>
    <row r="439" spans="1:17" s="82" customFormat="1" ht="24.95" customHeight="1">
      <c r="A439" s="284"/>
      <c r="B439" s="285"/>
      <c r="C439" s="285"/>
      <c r="D439" s="304"/>
      <c r="E439" s="516" t="s">
        <v>1712</v>
      </c>
      <c r="F439" s="511"/>
      <c r="G439" s="511"/>
      <c r="H439" s="511"/>
      <c r="I439" s="511"/>
      <c r="J439" s="511"/>
      <c r="K439" s="511"/>
      <c r="L439" s="291">
        <f>ROUNDDOWN(50000*3*0.012*50%,0)</f>
        <v>900</v>
      </c>
      <c r="M439" s="315">
        <f>+L439</f>
        <v>900</v>
      </c>
      <c r="N439" s="316">
        <v>0</v>
      </c>
      <c r="O439" s="316">
        <f t="shared" si="10"/>
        <v>900</v>
      </c>
      <c r="P439" s="290"/>
      <c r="Q439" s="316"/>
    </row>
    <row r="440" spans="1:17" s="82" customFormat="1" ht="24.95" customHeight="1">
      <c r="A440" s="284"/>
      <c r="B440" s="285"/>
      <c r="C440" s="285"/>
      <c r="D440" s="304"/>
      <c r="E440" s="509" t="s">
        <v>1009</v>
      </c>
      <c r="F440" s="510"/>
      <c r="G440" s="510"/>
      <c r="H440" s="510"/>
      <c r="I440" s="510"/>
      <c r="J440" s="511"/>
      <c r="K440" s="511"/>
      <c r="L440" s="291"/>
      <c r="M440" s="315"/>
      <c r="N440" s="316"/>
      <c r="O440" s="316"/>
      <c r="P440" s="290"/>
      <c r="Q440" s="316"/>
    </row>
    <row r="441" spans="1:17" s="82" customFormat="1" ht="24.95" customHeight="1">
      <c r="A441" s="284"/>
      <c r="B441" s="285"/>
      <c r="C441" s="285"/>
      <c r="D441" s="304"/>
      <c r="E441" s="292"/>
      <c r="F441" s="293"/>
      <c r="G441" s="510" t="s">
        <v>1010</v>
      </c>
      <c r="H441" s="510"/>
      <c r="I441" s="510"/>
      <c r="J441" s="296"/>
      <c r="K441" s="296"/>
      <c r="L441" s="291"/>
      <c r="M441" s="315"/>
      <c r="N441" s="316"/>
      <c r="O441" s="316"/>
      <c r="P441" s="290"/>
      <c r="Q441" s="316"/>
    </row>
    <row r="442" spans="1:17" s="82" customFormat="1" ht="24.95" customHeight="1">
      <c r="A442" s="284"/>
      <c r="B442" s="285"/>
      <c r="C442" s="285"/>
      <c r="D442" s="304"/>
      <c r="E442" s="516" t="s">
        <v>1713</v>
      </c>
      <c r="F442" s="518"/>
      <c r="G442" s="518"/>
      <c r="H442" s="518"/>
      <c r="I442" s="518"/>
      <c r="J442" s="518"/>
      <c r="K442" s="518"/>
      <c r="L442" s="291">
        <f>ROUNDDOWN(((70000*10)+(66000*1))*5*12/1000,0)</f>
        <v>45960</v>
      </c>
      <c r="M442" s="315">
        <f>+L442</f>
        <v>45960</v>
      </c>
      <c r="N442" s="316">
        <v>66960</v>
      </c>
      <c r="O442" s="316">
        <f t="shared" si="10"/>
        <v>-21000</v>
      </c>
      <c r="P442" s="290"/>
      <c r="Q442" s="316" t="s">
        <v>1665</v>
      </c>
    </row>
    <row r="443" spans="1:17" s="82" customFormat="1" ht="24.95" customHeight="1">
      <c r="A443" s="284"/>
      <c r="B443" s="285"/>
      <c r="C443" s="285"/>
      <c r="D443" s="304"/>
      <c r="E443" s="300"/>
      <c r="F443" s="307"/>
      <c r="G443" s="523" t="s">
        <v>1911</v>
      </c>
      <c r="H443" s="523"/>
      <c r="I443" s="523"/>
      <c r="J443" s="308"/>
      <c r="K443" s="308"/>
      <c r="L443" s="291"/>
      <c r="M443" s="315"/>
      <c r="N443" s="316"/>
      <c r="O443" s="316"/>
      <c r="P443" s="290"/>
      <c r="Q443" s="316"/>
    </row>
    <row r="444" spans="1:17" s="82" customFormat="1" ht="24.95" customHeight="1">
      <c r="A444" s="284"/>
      <c r="B444" s="285"/>
      <c r="C444" s="285"/>
      <c r="D444" s="304"/>
      <c r="E444" s="516" t="s">
        <v>1714</v>
      </c>
      <c r="F444" s="518"/>
      <c r="G444" s="518"/>
      <c r="H444" s="518"/>
      <c r="I444" s="518"/>
      <c r="J444" s="518"/>
      <c r="K444" s="518"/>
      <c r="L444" s="291">
        <f>ROUNDDOWN(((70000*4)+(66000*1))*5*12/1000*80%,0)</f>
        <v>16608</v>
      </c>
      <c r="M444" s="315">
        <f>+L444</f>
        <v>16608</v>
      </c>
      <c r="N444" s="316">
        <v>0</v>
      </c>
      <c r="O444" s="316">
        <f t="shared" si="10"/>
        <v>16608</v>
      </c>
      <c r="P444" s="290"/>
      <c r="Q444" s="316"/>
    </row>
    <row r="445" spans="1:17" s="82" customFormat="1" ht="24.95" customHeight="1">
      <c r="A445" s="284"/>
      <c r="B445" s="285"/>
      <c r="C445" s="285"/>
      <c r="D445" s="304"/>
      <c r="E445" s="300"/>
      <c r="F445" s="307"/>
      <c r="G445" s="523" t="s">
        <v>1863</v>
      </c>
      <c r="H445" s="523"/>
      <c r="I445" s="523"/>
      <c r="J445" s="308"/>
      <c r="K445" s="308"/>
      <c r="L445" s="291"/>
      <c r="M445" s="315"/>
      <c r="N445" s="316"/>
      <c r="O445" s="316"/>
      <c r="P445" s="290"/>
      <c r="Q445" s="316"/>
    </row>
    <row r="446" spans="1:17" s="82" customFormat="1" ht="24.95" customHeight="1">
      <c r="A446" s="284"/>
      <c r="B446" s="285"/>
      <c r="C446" s="285"/>
      <c r="D446" s="304"/>
      <c r="E446" s="300"/>
      <c r="F446" s="518" t="s">
        <v>1715</v>
      </c>
      <c r="G446" s="518"/>
      <c r="H446" s="518"/>
      <c r="I446" s="518"/>
      <c r="J446" s="518"/>
      <c r="K446" s="518"/>
      <c r="L446" s="291">
        <f>ROUNDDOWN(((70000*1)+(66000*1))*5*12/1000*50%,0)</f>
        <v>4080</v>
      </c>
      <c r="M446" s="315">
        <f>+L446</f>
        <v>4080</v>
      </c>
      <c r="N446" s="316">
        <v>0</v>
      </c>
      <c r="O446" s="316">
        <f t="shared" si="10"/>
        <v>4080</v>
      </c>
      <c r="P446" s="290"/>
      <c r="Q446" s="316"/>
    </row>
    <row r="447" spans="1:17" s="82" customFormat="1" ht="24.95" customHeight="1">
      <c r="A447" s="284"/>
      <c r="B447" s="285"/>
      <c r="C447" s="285"/>
      <c r="D447" s="304"/>
      <c r="E447" s="292"/>
      <c r="F447" s="293"/>
      <c r="G447" s="510" t="s">
        <v>1011</v>
      </c>
      <c r="H447" s="510"/>
      <c r="I447" s="510"/>
      <c r="J447" s="296"/>
      <c r="K447" s="296"/>
      <c r="L447" s="291"/>
      <c r="M447" s="315"/>
      <c r="N447" s="316"/>
      <c r="O447" s="316"/>
      <c r="P447" s="290"/>
      <c r="Q447" s="316"/>
    </row>
    <row r="448" spans="1:17" s="82" customFormat="1" ht="24.95" customHeight="1">
      <c r="A448" s="284"/>
      <c r="B448" s="285"/>
      <c r="C448" s="285"/>
      <c r="D448" s="304"/>
      <c r="E448" s="516" t="s">
        <v>1716</v>
      </c>
      <c r="F448" s="518"/>
      <c r="G448" s="518"/>
      <c r="H448" s="518"/>
      <c r="I448" s="518"/>
      <c r="J448" s="518"/>
      <c r="K448" s="518"/>
      <c r="L448" s="291">
        <f>ROUNDDOWN(((47000*11)+(44000*1))*5*12/1000,0)</f>
        <v>33660</v>
      </c>
      <c r="M448" s="315">
        <f>+L448</f>
        <v>33660</v>
      </c>
      <c r="N448" s="316">
        <v>44940</v>
      </c>
      <c r="O448" s="316">
        <f t="shared" si="10"/>
        <v>-11280</v>
      </c>
      <c r="P448" s="290"/>
      <c r="Q448" s="316" t="s">
        <v>1665</v>
      </c>
    </row>
    <row r="449" spans="1:17" s="82" customFormat="1" ht="24.95" customHeight="1">
      <c r="A449" s="284"/>
      <c r="B449" s="285"/>
      <c r="C449" s="285"/>
      <c r="D449" s="304"/>
      <c r="E449" s="300"/>
      <c r="F449" s="307"/>
      <c r="G449" s="523" t="s">
        <v>1912</v>
      </c>
      <c r="H449" s="523"/>
      <c r="I449" s="523"/>
      <c r="J449" s="308"/>
      <c r="K449" s="308"/>
      <c r="L449" s="291"/>
      <c r="M449" s="315"/>
      <c r="N449" s="316"/>
      <c r="O449" s="316"/>
      <c r="P449" s="290"/>
      <c r="Q449" s="316"/>
    </row>
    <row r="450" spans="1:17" s="82" customFormat="1" ht="24.95" customHeight="1">
      <c r="A450" s="284"/>
      <c r="B450" s="285"/>
      <c r="C450" s="285"/>
      <c r="D450" s="304"/>
      <c r="E450" s="516" t="s">
        <v>1717</v>
      </c>
      <c r="F450" s="518"/>
      <c r="G450" s="518"/>
      <c r="H450" s="518"/>
      <c r="I450" s="518"/>
      <c r="J450" s="518"/>
      <c r="K450" s="518"/>
      <c r="L450" s="291">
        <f>ROUNDDOWN(((47000*3)+(44000*1))*5*12/1000*80%,0)</f>
        <v>8880</v>
      </c>
      <c r="M450" s="315">
        <f>+L450</f>
        <v>8880</v>
      </c>
      <c r="N450" s="316">
        <v>0</v>
      </c>
      <c r="O450" s="316">
        <f t="shared" si="10"/>
        <v>8880</v>
      </c>
      <c r="P450" s="290"/>
      <c r="Q450" s="316"/>
    </row>
    <row r="451" spans="1:17" s="82" customFormat="1" ht="24.95" customHeight="1">
      <c r="A451" s="284"/>
      <c r="B451" s="285"/>
      <c r="C451" s="285"/>
      <c r="D451" s="304"/>
      <c r="E451" s="300"/>
      <c r="F451" s="307"/>
      <c r="G451" s="523" t="s">
        <v>1913</v>
      </c>
      <c r="H451" s="523"/>
      <c r="I451" s="523"/>
      <c r="J451" s="308"/>
      <c r="K451" s="308"/>
      <c r="L451" s="291"/>
      <c r="M451" s="315"/>
      <c r="N451" s="316"/>
      <c r="O451" s="316"/>
      <c r="P451" s="290"/>
      <c r="Q451" s="316"/>
    </row>
    <row r="452" spans="1:17" s="82" customFormat="1" ht="24.95" customHeight="1">
      <c r="A452" s="284"/>
      <c r="B452" s="285"/>
      <c r="C452" s="285"/>
      <c r="D452" s="304"/>
      <c r="E452" s="516" t="s">
        <v>1718</v>
      </c>
      <c r="F452" s="518"/>
      <c r="G452" s="518"/>
      <c r="H452" s="518"/>
      <c r="I452" s="518"/>
      <c r="J452" s="518"/>
      <c r="K452" s="518"/>
      <c r="L452" s="291">
        <f>ROUNDDOWN(((47000*1)+(44000*1))*5*12/1000*50%,0)</f>
        <v>2730</v>
      </c>
      <c r="M452" s="315">
        <f>+L452</f>
        <v>2730</v>
      </c>
      <c r="N452" s="316">
        <v>0</v>
      </c>
      <c r="O452" s="316">
        <f t="shared" si="10"/>
        <v>2730</v>
      </c>
      <c r="P452" s="290"/>
      <c r="Q452" s="316"/>
    </row>
    <row r="453" spans="1:17" s="82" customFormat="1" ht="24.95" customHeight="1">
      <c r="A453" s="284"/>
      <c r="B453" s="285"/>
      <c r="C453" s="285"/>
      <c r="D453" s="304"/>
      <c r="E453" s="292"/>
      <c r="F453" s="293"/>
      <c r="G453" s="510" t="s">
        <v>1914</v>
      </c>
      <c r="H453" s="510"/>
      <c r="I453" s="510"/>
      <c r="J453" s="296"/>
      <c r="K453" s="296"/>
      <c r="L453" s="291"/>
      <c r="M453" s="315"/>
      <c r="N453" s="316"/>
      <c r="O453" s="316"/>
      <c r="P453" s="290"/>
      <c r="Q453" s="316"/>
    </row>
    <row r="454" spans="1:17" s="82" customFormat="1" ht="24.95" customHeight="1">
      <c r="A454" s="284"/>
      <c r="B454" s="285"/>
      <c r="C454" s="285"/>
      <c r="D454" s="304"/>
      <c r="E454" s="516" t="s">
        <v>1719</v>
      </c>
      <c r="F454" s="518"/>
      <c r="G454" s="518"/>
      <c r="H454" s="518"/>
      <c r="I454" s="518"/>
      <c r="J454" s="518"/>
      <c r="K454" s="518"/>
      <c r="L454" s="291">
        <f>ROUNDDOWN(((35000*7)+(27000*5))*12/1000,0)</f>
        <v>4560</v>
      </c>
      <c r="M454" s="315">
        <f>+L454</f>
        <v>4560</v>
      </c>
      <c r="N454" s="316">
        <v>6468</v>
      </c>
      <c r="O454" s="316">
        <f t="shared" si="10"/>
        <v>-1908</v>
      </c>
      <c r="P454" s="290"/>
      <c r="Q454" s="316" t="s">
        <v>1665</v>
      </c>
    </row>
    <row r="455" spans="1:17" s="82" customFormat="1" ht="24.95" customHeight="1">
      <c r="A455" s="284"/>
      <c r="B455" s="285"/>
      <c r="C455" s="285"/>
      <c r="D455" s="304"/>
      <c r="E455" s="300"/>
      <c r="F455" s="307"/>
      <c r="G455" s="523" t="s">
        <v>1915</v>
      </c>
      <c r="H455" s="523"/>
      <c r="I455" s="523"/>
      <c r="J455" s="308"/>
      <c r="K455" s="308"/>
      <c r="L455" s="291"/>
      <c r="M455" s="315"/>
      <c r="N455" s="316"/>
      <c r="O455" s="316"/>
      <c r="P455" s="290"/>
      <c r="Q455" s="316"/>
    </row>
    <row r="456" spans="1:17" s="82" customFormat="1" ht="24.95" customHeight="1">
      <c r="A456" s="284"/>
      <c r="B456" s="285"/>
      <c r="C456" s="285"/>
      <c r="D456" s="304"/>
      <c r="E456" s="516" t="s">
        <v>1720</v>
      </c>
      <c r="F456" s="518"/>
      <c r="G456" s="518"/>
      <c r="H456" s="518"/>
      <c r="I456" s="518"/>
      <c r="J456" s="518"/>
      <c r="K456" s="518"/>
      <c r="L456" s="291">
        <f>ROUNDDOWN(((35000*3)+(27000*7))*12/1000*80%,0)</f>
        <v>2822</v>
      </c>
      <c r="M456" s="315">
        <f>+L456</f>
        <v>2822</v>
      </c>
      <c r="N456" s="316">
        <v>0</v>
      </c>
      <c r="O456" s="316">
        <f t="shared" ref="O456:O523" si="11">+M456-N456</f>
        <v>2822</v>
      </c>
      <c r="P456" s="290"/>
      <c r="Q456" s="316"/>
    </row>
    <row r="457" spans="1:17" s="82" customFormat="1" ht="24.95" customHeight="1">
      <c r="A457" s="284"/>
      <c r="B457" s="285"/>
      <c r="C457" s="285"/>
      <c r="D457" s="304"/>
      <c r="E457" s="300"/>
      <c r="F457" s="307"/>
      <c r="G457" s="523" t="s">
        <v>1916</v>
      </c>
      <c r="H457" s="523"/>
      <c r="I457" s="523"/>
      <c r="J457" s="308"/>
      <c r="K457" s="308"/>
      <c r="L457" s="291"/>
      <c r="M457" s="315"/>
      <c r="N457" s="316"/>
      <c r="O457" s="316"/>
      <c r="P457" s="290"/>
      <c r="Q457" s="316"/>
    </row>
    <row r="458" spans="1:17" s="82" customFormat="1" ht="24.95" customHeight="1">
      <c r="A458" s="284"/>
      <c r="B458" s="285"/>
      <c r="C458" s="285"/>
      <c r="D458" s="304"/>
      <c r="E458" s="516" t="s">
        <v>1721</v>
      </c>
      <c r="F458" s="518"/>
      <c r="G458" s="518"/>
      <c r="H458" s="518"/>
      <c r="I458" s="518"/>
      <c r="J458" s="518"/>
      <c r="K458" s="518"/>
      <c r="L458" s="291">
        <f>ROUNDDOWN(((35000*0)+(27000*2))*12/1000*50%,0)</f>
        <v>324</v>
      </c>
      <c r="M458" s="315">
        <f>+L458</f>
        <v>324</v>
      </c>
      <c r="N458" s="316">
        <v>0</v>
      </c>
      <c r="O458" s="316">
        <f t="shared" si="11"/>
        <v>324</v>
      </c>
      <c r="P458" s="290"/>
      <c r="Q458" s="316"/>
    </row>
    <row r="459" spans="1:17" s="82" customFormat="1" ht="24.95" customHeight="1">
      <c r="A459" s="284"/>
      <c r="B459" s="285"/>
      <c r="C459" s="285"/>
      <c r="D459" s="304"/>
      <c r="E459" s="292"/>
      <c r="F459" s="293"/>
      <c r="G459" s="510" t="s">
        <v>1722</v>
      </c>
      <c r="H459" s="510"/>
      <c r="I459" s="510"/>
      <c r="J459" s="296"/>
      <c r="K459" s="296"/>
      <c r="L459" s="291"/>
      <c r="M459" s="315"/>
      <c r="N459" s="316"/>
      <c r="O459" s="316"/>
      <c r="P459" s="290"/>
      <c r="Q459" s="316"/>
    </row>
    <row r="460" spans="1:17" s="82" customFormat="1" ht="24.95" customHeight="1">
      <c r="A460" s="284"/>
      <c r="B460" s="285"/>
      <c r="C460" s="285"/>
      <c r="D460" s="304"/>
      <c r="E460" s="516" t="s">
        <v>1012</v>
      </c>
      <c r="F460" s="518"/>
      <c r="G460" s="518"/>
      <c r="H460" s="518"/>
      <c r="I460" s="518"/>
      <c r="J460" s="518"/>
      <c r="K460" s="518"/>
      <c r="L460" s="291">
        <f>ROUNDDOWN(53000*15*0.012,0)</f>
        <v>9540</v>
      </c>
      <c r="M460" s="315">
        <f>+L460</f>
        <v>9540</v>
      </c>
      <c r="N460" s="316">
        <v>9540</v>
      </c>
      <c r="O460" s="316">
        <f t="shared" si="11"/>
        <v>0</v>
      </c>
      <c r="P460" s="290"/>
      <c r="Q460" s="316"/>
    </row>
    <row r="461" spans="1:17" s="82" customFormat="1" ht="24.95" customHeight="1">
      <c r="A461" s="284"/>
      <c r="B461" s="285"/>
      <c r="C461" s="285"/>
      <c r="D461" s="304"/>
      <c r="E461" s="300"/>
      <c r="F461" s="307"/>
      <c r="G461" s="523" t="s">
        <v>1723</v>
      </c>
      <c r="H461" s="523"/>
      <c r="I461" s="523"/>
      <c r="J461" s="308"/>
      <c r="K461" s="308"/>
      <c r="L461" s="291"/>
      <c r="M461" s="315"/>
      <c r="N461" s="316"/>
      <c r="O461" s="316"/>
      <c r="P461" s="290"/>
      <c r="Q461" s="316"/>
    </row>
    <row r="462" spans="1:17" s="82" customFormat="1" ht="24.95" customHeight="1">
      <c r="A462" s="284"/>
      <c r="B462" s="285"/>
      <c r="C462" s="285"/>
      <c r="D462" s="304"/>
      <c r="E462" s="516" t="s">
        <v>1724</v>
      </c>
      <c r="F462" s="518"/>
      <c r="G462" s="518"/>
      <c r="H462" s="518"/>
      <c r="I462" s="518"/>
      <c r="J462" s="518"/>
      <c r="K462" s="518"/>
      <c r="L462" s="291">
        <f>ROUNDDOWN(53000*15*0.012*50%,0)</f>
        <v>4770</v>
      </c>
      <c r="M462" s="315">
        <f>+L462</f>
        <v>4770</v>
      </c>
      <c r="N462" s="316">
        <v>0</v>
      </c>
      <c r="O462" s="316">
        <f t="shared" si="11"/>
        <v>4770</v>
      </c>
      <c r="P462" s="290"/>
      <c r="Q462" s="316"/>
    </row>
    <row r="463" spans="1:17" s="82" customFormat="1" ht="24.95" customHeight="1">
      <c r="A463" s="284"/>
      <c r="B463" s="285"/>
      <c r="C463" s="285"/>
      <c r="D463" s="304"/>
      <c r="E463" s="509" t="s">
        <v>1013</v>
      </c>
      <c r="F463" s="510"/>
      <c r="G463" s="510"/>
      <c r="H463" s="510"/>
      <c r="I463" s="510"/>
      <c r="J463" s="511"/>
      <c r="K463" s="511"/>
      <c r="L463" s="291"/>
      <c r="M463" s="315"/>
      <c r="N463" s="316"/>
      <c r="O463" s="316"/>
      <c r="P463" s="290"/>
      <c r="Q463" s="316"/>
    </row>
    <row r="464" spans="1:17" s="82" customFormat="1" ht="24.95" customHeight="1">
      <c r="A464" s="284"/>
      <c r="B464" s="285"/>
      <c r="C464" s="285"/>
      <c r="D464" s="304"/>
      <c r="E464" s="292"/>
      <c r="F464" s="293"/>
      <c r="G464" s="510" t="s">
        <v>1000</v>
      </c>
      <c r="H464" s="510"/>
      <c r="I464" s="510"/>
      <c r="J464" s="296"/>
      <c r="K464" s="296"/>
      <c r="L464" s="291"/>
      <c r="M464" s="315"/>
      <c r="N464" s="316"/>
      <c r="O464" s="316"/>
      <c r="P464" s="290"/>
      <c r="Q464" s="316"/>
    </row>
    <row r="465" spans="1:17" s="82" customFormat="1" ht="24.95" customHeight="1">
      <c r="A465" s="284"/>
      <c r="B465" s="285"/>
      <c r="C465" s="285"/>
      <c r="D465" s="304"/>
      <c r="E465" s="516" t="s">
        <v>1725</v>
      </c>
      <c r="F465" s="518"/>
      <c r="G465" s="518"/>
      <c r="H465" s="518"/>
      <c r="I465" s="518"/>
      <c r="J465" s="518"/>
      <c r="K465" s="518"/>
      <c r="L465" s="291">
        <f>ROUNDDOWN(42000*10*3*0.012,0)</f>
        <v>15120</v>
      </c>
      <c r="M465" s="315">
        <f>+L465</f>
        <v>15120</v>
      </c>
      <c r="N465" s="316">
        <v>22680</v>
      </c>
      <c r="O465" s="316">
        <f t="shared" si="11"/>
        <v>-7560</v>
      </c>
      <c r="P465" s="290"/>
      <c r="Q465" s="316" t="s">
        <v>1479</v>
      </c>
    </row>
    <row r="466" spans="1:17" s="82" customFormat="1" ht="24.95" customHeight="1">
      <c r="A466" s="284"/>
      <c r="B466" s="285"/>
      <c r="C466" s="285"/>
      <c r="D466" s="304"/>
      <c r="E466" s="300"/>
      <c r="F466" s="307"/>
      <c r="G466" s="523" t="s">
        <v>1917</v>
      </c>
      <c r="H466" s="523"/>
      <c r="I466" s="523"/>
      <c r="J466" s="308"/>
      <c r="K466" s="308"/>
      <c r="L466" s="291"/>
      <c r="M466" s="315"/>
      <c r="N466" s="316"/>
      <c r="O466" s="316"/>
      <c r="P466" s="290"/>
      <c r="Q466" s="316"/>
    </row>
    <row r="467" spans="1:17" s="82" customFormat="1" ht="24.95" customHeight="1">
      <c r="A467" s="284"/>
      <c r="B467" s="285"/>
      <c r="C467" s="285"/>
      <c r="D467" s="304"/>
      <c r="E467" s="516" t="s">
        <v>1726</v>
      </c>
      <c r="F467" s="518"/>
      <c r="G467" s="518"/>
      <c r="H467" s="518"/>
      <c r="I467" s="518"/>
      <c r="J467" s="518"/>
      <c r="K467" s="518"/>
      <c r="L467" s="291">
        <f>ROUNDDOWN(42000*5*3*0.012*80%,0)</f>
        <v>6048</v>
      </c>
      <c r="M467" s="315">
        <f>+L467</f>
        <v>6048</v>
      </c>
      <c r="N467" s="316">
        <v>0</v>
      </c>
      <c r="O467" s="316">
        <f t="shared" si="11"/>
        <v>6048</v>
      </c>
      <c r="P467" s="290"/>
      <c r="Q467" s="316"/>
    </row>
    <row r="468" spans="1:17" s="82" customFormat="1" ht="24.95" customHeight="1">
      <c r="A468" s="284"/>
      <c r="B468" s="285"/>
      <c r="C468" s="285"/>
      <c r="D468" s="304"/>
      <c r="E468" s="509" t="s">
        <v>1014</v>
      </c>
      <c r="F468" s="510"/>
      <c r="G468" s="510"/>
      <c r="H468" s="510"/>
      <c r="I468" s="510"/>
      <c r="J468" s="511"/>
      <c r="K468" s="511"/>
      <c r="L468" s="291"/>
      <c r="M468" s="315"/>
      <c r="N468" s="316"/>
      <c r="O468" s="316"/>
      <c r="P468" s="290"/>
      <c r="Q468" s="316"/>
    </row>
    <row r="469" spans="1:17" s="82" customFormat="1" ht="24.95" customHeight="1">
      <c r="A469" s="284"/>
      <c r="B469" s="285"/>
      <c r="C469" s="285"/>
      <c r="D469" s="304"/>
      <c r="E469" s="292"/>
      <c r="F469" s="293"/>
      <c r="G469" s="523" t="s">
        <v>1087</v>
      </c>
      <c r="H469" s="523"/>
      <c r="I469" s="523"/>
      <c r="J469" s="296"/>
      <c r="K469" s="296"/>
      <c r="L469" s="291"/>
      <c r="M469" s="315"/>
      <c r="N469" s="316"/>
      <c r="O469" s="316"/>
      <c r="P469" s="290"/>
      <c r="Q469" s="316"/>
    </row>
    <row r="470" spans="1:17" s="82" customFormat="1" ht="24.95" customHeight="1">
      <c r="A470" s="284"/>
      <c r="B470" s="285"/>
      <c r="C470" s="285"/>
      <c r="D470" s="304"/>
      <c r="E470" s="516" t="s">
        <v>1727</v>
      </c>
      <c r="F470" s="518"/>
      <c r="G470" s="518"/>
      <c r="H470" s="518"/>
      <c r="I470" s="518"/>
      <c r="J470" s="518"/>
      <c r="K470" s="518"/>
      <c r="L470" s="291">
        <f>ROUNDDOWN(37000*10*3*0.012,0)</f>
        <v>13320</v>
      </c>
      <c r="M470" s="315">
        <f>+L470</f>
        <v>13320</v>
      </c>
      <c r="N470" s="316">
        <v>19980</v>
      </c>
      <c r="O470" s="316">
        <f t="shared" si="11"/>
        <v>-6660</v>
      </c>
      <c r="P470" s="290"/>
      <c r="Q470" s="316" t="s">
        <v>1479</v>
      </c>
    </row>
    <row r="471" spans="1:17" s="82" customFormat="1" ht="24.95" customHeight="1">
      <c r="A471" s="284"/>
      <c r="B471" s="285"/>
      <c r="C471" s="285"/>
      <c r="D471" s="304"/>
      <c r="E471" s="300"/>
      <c r="F471" s="307"/>
      <c r="G471" s="523" t="s">
        <v>1480</v>
      </c>
      <c r="H471" s="523"/>
      <c r="I471" s="523"/>
      <c r="J471" s="308"/>
      <c r="K471" s="308"/>
      <c r="L471" s="291"/>
      <c r="M471" s="315"/>
      <c r="N471" s="316"/>
      <c r="O471" s="316"/>
      <c r="P471" s="290"/>
      <c r="Q471" s="316"/>
    </row>
    <row r="472" spans="1:17" s="82" customFormat="1" ht="24.95" customHeight="1">
      <c r="A472" s="284"/>
      <c r="B472" s="285"/>
      <c r="C472" s="285"/>
      <c r="D472" s="304"/>
      <c r="E472" s="516" t="s">
        <v>1728</v>
      </c>
      <c r="F472" s="518"/>
      <c r="G472" s="518"/>
      <c r="H472" s="518"/>
      <c r="I472" s="518"/>
      <c r="J472" s="518"/>
      <c r="K472" s="518"/>
      <c r="L472" s="291">
        <f>ROUNDDOWN(37000*5*3*0.012*80%,0)</f>
        <v>5328</v>
      </c>
      <c r="M472" s="315">
        <f>+L472</f>
        <v>5328</v>
      </c>
      <c r="N472" s="316">
        <v>0</v>
      </c>
      <c r="O472" s="316">
        <f t="shared" si="11"/>
        <v>5328</v>
      </c>
      <c r="P472" s="290"/>
      <c r="Q472" s="316"/>
    </row>
    <row r="473" spans="1:17" s="82" customFormat="1" ht="24.95" customHeight="1">
      <c r="A473" s="284"/>
      <c r="B473" s="285"/>
      <c r="C473" s="285"/>
      <c r="D473" s="304"/>
      <c r="E473" s="509" t="s">
        <v>1015</v>
      </c>
      <c r="F473" s="510"/>
      <c r="G473" s="510"/>
      <c r="H473" s="510"/>
      <c r="I473" s="510"/>
      <c r="J473" s="511"/>
      <c r="K473" s="511"/>
      <c r="L473" s="291"/>
      <c r="M473" s="315"/>
      <c r="N473" s="316"/>
      <c r="O473" s="316"/>
      <c r="P473" s="290"/>
      <c r="Q473" s="316"/>
    </row>
    <row r="474" spans="1:17" s="82" customFormat="1" ht="24.95" customHeight="1">
      <c r="A474" s="284"/>
      <c r="B474" s="285"/>
      <c r="C474" s="285"/>
      <c r="D474" s="304"/>
      <c r="E474" s="292"/>
      <c r="F474" s="293"/>
      <c r="G474" s="523" t="s">
        <v>1918</v>
      </c>
      <c r="H474" s="523"/>
      <c r="I474" s="523"/>
      <c r="J474" s="296"/>
      <c r="K474" s="296"/>
      <c r="L474" s="291"/>
      <c r="M474" s="315"/>
      <c r="N474" s="316"/>
      <c r="O474" s="316"/>
      <c r="P474" s="290"/>
      <c r="Q474" s="316"/>
    </row>
    <row r="475" spans="1:17" s="82" customFormat="1" ht="24.95" customHeight="1">
      <c r="A475" s="284"/>
      <c r="B475" s="285"/>
      <c r="C475" s="285"/>
      <c r="D475" s="304"/>
      <c r="E475" s="516" t="s">
        <v>1729</v>
      </c>
      <c r="F475" s="518"/>
      <c r="G475" s="518"/>
      <c r="H475" s="518"/>
      <c r="I475" s="518"/>
      <c r="J475" s="518"/>
      <c r="K475" s="518"/>
      <c r="L475" s="291">
        <f>ROUNDDOWN(((90000*8)+(65000*5))*12/1000,0)</f>
        <v>12540</v>
      </c>
      <c r="M475" s="315">
        <f>+L475</f>
        <v>12540</v>
      </c>
      <c r="N475" s="316">
        <v>14700</v>
      </c>
      <c r="O475" s="316">
        <f t="shared" si="11"/>
        <v>-2160</v>
      </c>
      <c r="P475" s="290"/>
      <c r="Q475" s="316" t="s">
        <v>1479</v>
      </c>
    </row>
    <row r="476" spans="1:17" s="82" customFormat="1" ht="24.95" customHeight="1">
      <c r="A476" s="284"/>
      <c r="B476" s="285"/>
      <c r="C476" s="285"/>
      <c r="D476" s="304"/>
      <c r="E476" s="300"/>
      <c r="F476" s="307"/>
      <c r="G476" s="523" t="s">
        <v>1919</v>
      </c>
      <c r="H476" s="523"/>
      <c r="I476" s="523"/>
      <c r="J476" s="308"/>
      <c r="K476" s="308"/>
      <c r="L476" s="291"/>
      <c r="M476" s="315"/>
      <c r="N476" s="316"/>
      <c r="O476" s="316"/>
      <c r="P476" s="290"/>
      <c r="Q476" s="316"/>
    </row>
    <row r="477" spans="1:17" s="82" customFormat="1" ht="24.95" customHeight="1">
      <c r="A477" s="284"/>
      <c r="B477" s="285"/>
      <c r="C477" s="285"/>
      <c r="D477" s="304"/>
      <c r="E477" s="516" t="s">
        <v>1730</v>
      </c>
      <c r="F477" s="518"/>
      <c r="G477" s="518"/>
      <c r="H477" s="518"/>
      <c r="I477" s="518"/>
      <c r="J477" s="518"/>
      <c r="K477" s="518"/>
      <c r="L477" s="291">
        <f>ROUNDDOWN(((90000*2)+(65000*5))*12/1000*80%,0)</f>
        <v>4848</v>
      </c>
      <c r="M477" s="315">
        <f>+L477</f>
        <v>4848</v>
      </c>
      <c r="N477" s="316">
        <v>0</v>
      </c>
      <c r="O477" s="316">
        <f t="shared" si="11"/>
        <v>4848</v>
      </c>
      <c r="P477" s="290"/>
      <c r="Q477" s="316"/>
    </row>
    <row r="478" spans="1:17" s="82" customFormat="1" ht="24.95" customHeight="1">
      <c r="A478" s="284"/>
      <c r="B478" s="285"/>
      <c r="C478" s="285"/>
      <c r="D478" s="304"/>
      <c r="E478" s="509" t="s">
        <v>1016</v>
      </c>
      <c r="F478" s="510"/>
      <c r="G478" s="510"/>
      <c r="H478" s="510"/>
      <c r="I478" s="510"/>
      <c r="J478" s="511"/>
      <c r="K478" s="511"/>
      <c r="L478" s="291"/>
      <c r="M478" s="315"/>
      <c r="N478" s="316"/>
      <c r="O478" s="316"/>
      <c r="P478" s="290"/>
      <c r="Q478" s="316"/>
    </row>
    <row r="479" spans="1:17" s="82" customFormat="1" ht="24.95" customHeight="1">
      <c r="A479" s="284"/>
      <c r="B479" s="285"/>
      <c r="C479" s="285"/>
      <c r="D479" s="304"/>
      <c r="E479" s="292"/>
      <c r="F479" s="293"/>
      <c r="G479" s="510" t="s">
        <v>1017</v>
      </c>
      <c r="H479" s="510"/>
      <c r="I479" s="510"/>
      <c r="J479" s="296"/>
      <c r="K479" s="296"/>
      <c r="L479" s="291"/>
      <c r="M479" s="315"/>
      <c r="N479" s="316"/>
      <c r="O479" s="316"/>
      <c r="P479" s="290"/>
      <c r="Q479" s="316"/>
    </row>
    <row r="480" spans="1:17" s="82" customFormat="1" ht="24.95" customHeight="1">
      <c r="A480" s="284"/>
      <c r="B480" s="285"/>
      <c r="C480" s="285"/>
      <c r="D480" s="304"/>
      <c r="E480" s="509"/>
      <c r="F480" s="510"/>
      <c r="G480" s="510"/>
      <c r="H480" s="510"/>
      <c r="I480" s="510"/>
      <c r="J480" s="511" t="s">
        <v>1731</v>
      </c>
      <c r="K480" s="511"/>
      <c r="L480" s="291">
        <f>ROUNDDOWN(25000*10*0.012,0)</f>
        <v>3000</v>
      </c>
      <c r="M480" s="315">
        <f>+L480</f>
        <v>3000</v>
      </c>
      <c r="N480" s="316">
        <v>3600</v>
      </c>
      <c r="O480" s="316">
        <f t="shared" si="11"/>
        <v>-600</v>
      </c>
      <c r="P480" s="290"/>
      <c r="Q480" s="316" t="s">
        <v>1479</v>
      </c>
    </row>
    <row r="481" spans="1:17" s="82" customFormat="1" ht="24.95" customHeight="1">
      <c r="A481" s="284"/>
      <c r="B481" s="285"/>
      <c r="C481" s="285"/>
      <c r="D481" s="304"/>
      <c r="E481" s="294"/>
      <c r="F481" s="295"/>
      <c r="G481" s="510" t="s">
        <v>1862</v>
      </c>
      <c r="H481" s="510"/>
      <c r="I481" s="510"/>
      <c r="J481" s="308"/>
      <c r="K481" s="308"/>
      <c r="L481" s="291"/>
      <c r="M481" s="315"/>
      <c r="N481" s="316"/>
      <c r="O481" s="316"/>
      <c r="P481" s="290"/>
      <c r="Q481" s="316"/>
    </row>
    <row r="482" spans="1:17" s="82" customFormat="1" ht="24.95" customHeight="1">
      <c r="A482" s="284"/>
      <c r="B482" s="285"/>
      <c r="C482" s="285"/>
      <c r="D482" s="304"/>
      <c r="E482" s="516" t="s">
        <v>1732</v>
      </c>
      <c r="F482" s="511"/>
      <c r="G482" s="511"/>
      <c r="H482" s="511"/>
      <c r="I482" s="511"/>
      <c r="J482" s="511"/>
      <c r="K482" s="511"/>
      <c r="L482" s="291">
        <f>ROUNDDOWN(25000*2*0.012*80%,0)</f>
        <v>480</v>
      </c>
      <c r="M482" s="315">
        <f>+L482</f>
        <v>480</v>
      </c>
      <c r="N482" s="316">
        <v>0</v>
      </c>
      <c r="O482" s="316">
        <f t="shared" si="11"/>
        <v>480</v>
      </c>
      <c r="P482" s="290"/>
      <c r="Q482" s="316"/>
    </row>
    <row r="483" spans="1:17" s="82" customFormat="1" ht="24.95" customHeight="1">
      <c r="A483" s="284"/>
      <c r="B483" s="285"/>
      <c r="C483" s="285"/>
      <c r="D483" s="304"/>
      <c r="E483" s="292"/>
      <c r="F483" s="293"/>
      <c r="G483" s="510" t="s">
        <v>1018</v>
      </c>
      <c r="H483" s="510"/>
      <c r="I483" s="510"/>
      <c r="J483" s="296"/>
      <c r="K483" s="296"/>
      <c r="L483" s="291"/>
      <c r="M483" s="315"/>
      <c r="N483" s="316"/>
      <c r="O483" s="316"/>
      <c r="P483" s="290"/>
      <c r="Q483" s="316"/>
    </row>
    <row r="484" spans="1:17" s="82" customFormat="1" ht="24.95" customHeight="1">
      <c r="A484" s="284"/>
      <c r="B484" s="285"/>
      <c r="C484" s="285"/>
      <c r="D484" s="304"/>
      <c r="E484" s="516" t="s">
        <v>1019</v>
      </c>
      <c r="F484" s="518"/>
      <c r="G484" s="518"/>
      <c r="H484" s="518"/>
      <c r="I484" s="518"/>
      <c r="J484" s="518"/>
      <c r="K484" s="518"/>
      <c r="L484" s="291">
        <f>ROUNDDOWN(((42000*10)+(39000*5))*12/1000,0)</f>
        <v>7380</v>
      </c>
      <c r="M484" s="315">
        <f>+L484</f>
        <v>7380</v>
      </c>
      <c r="N484" s="316">
        <v>7380</v>
      </c>
      <c r="O484" s="316">
        <f t="shared" si="11"/>
        <v>0</v>
      </c>
      <c r="P484" s="290"/>
      <c r="Q484" s="316"/>
    </row>
    <row r="485" spans="1:17" s="82" customFormat="1" ht="24.95" customHeight="1">
      <c r="A485" s="284"/>
      <c r="B485" s="285"/>
      <c r="C485" s="285"/>
      <c r="D485" s="304"/>
      <c r="E485" s="509" t="s">
        <v>1020</v>
      </c>
      <c r="F485" s="510"/>
      <c r="G485" s="510"/>
      <c r="H485" s="510"/>
      <c r="I485" s="510"/>
      <c r="J485" s="511"/>
      <c r="K485" s="511"/>
      <c r="L485" s="291"/>
      <c r="M485" s="315"/>
      <c r="N485" s="316"/>
      <c r="O485" s="316"/>
      <c r="P485" s="290"/>
      <c r="Q485" s="316"/>
    </row>
    <row r="486" spans="1:17" s="82" customFormat="1" ht="24.95" customHeight="1">
      <c r="A486" s="284"/>
      <c r="B486" s="285"/>
      <c r="C486" s="285"/>
      <c r="D486" s="304"/>
      <c r="E486" s="292"/>
      <c r="F486" s="293"/>
      <c r="G486" s="523" t="s">
        <v>1920</v>
      </c>
      <c r="H486" s="523"/>
      <c r="I486" s="523"/>
      <c r="J486" s="296"/>
      <c r="K486" s="296"/>
      <c r="L486" s="291"/>
      <c r="M486" s="315"/>
      <c r="N486" s="316"/>
      <c r="O486" s="316"/>
      <c r="P486" s="290"/>
      <c r="Q486" s="316"/>
    </row>
    <row r="487" spans="1:17" s="82" customFormat="1" ht="24.95" customHeight="1">
      <c r="A487" s="284"/>
      <c r="B487" s="285"/>
      <c r="C487" s="285"/>
      <c r="D487" s="304"/>
      <c r="E487" s="516" t="s">
        <v>1733</v>
      </c>
      <c r="F487" s="518"/>
      <c r="G487" s="518"/>
      <c r="H487" s="518"/>
      <c r="I487" s="518"/>
      <c r="J487" s="518"/>
      <c r="K487" s="518"/>
      <c r="L487" s="291">
        <f>ROUNDDOWN(28000*8*5*0.012,0)</f>
        <v>13440</v>
      </c>
      <c r="M487" s="315">
        <f>+L487</f>
        <v>13440</v>
      </c>
      <c r="N487" s="316">
        <v>30240</v>
      </c>
      <c r="O487" s="316">
        <f t="shared" si="11"/>
        <v>-16800</v>
      </c>
      <c r="P487" s="290"/>
      <c r="Q487" s="316" t="s">
        <v>1479</v>
      </c>
    </row>
    <row r="488" spans="1:17" s="82" customFormat="1" ht="24.95" customHeight="1">
      <c r="A488" s="284"/>
      <c r="B488" s="285"/>
      <c r="C488" s="285"/>
      <c r="D488" s="304"/>
      <c r="E488" s="300"/>
      <c r="F488" s="307"/>
      <c r="G488" s="523" t="s">
        <v>1921</v>
      </c>
      <c r="H488" s="523"/>
      <c r="I488" s="523"/>
      <c r="J488" s="308"/>
      <c r="K488" s="308"/>
      <c r="L488" s="291"/>
      <c r="M488" s="315"/>
      <c r="N488" s="316"/>
      <c r="O488" s="316"/>
      <c r="P488" s="290"/>
      <c r="Q488" s="316"/>
    </row>
    <row r="489" spans="1:17" s="82" customFormat="1" ht="24.95" customHeight="1">
      <c r="A489" s="284"/>
      <c r="B489" s="285"/>
      <c r="C489" s="285"/>
      <c r="D489" s="304"/>
      <c r="E489" s="516" t="s">
        <v>1734</v>
      </c>
      <c r="F489" s="518"/>
      <c r="G489" s="518"/>
      <c r="H489" s="518"/>
      <c r="I489" s="518"/>
      <c r="J489" s="518"/>
      <c r="K489" s="518"/>
      <c r="L489" s="291">
        <f>ROUNDDOWN(28000*10*5*0.012*80%,0)</f>
        <v>13440</v>
      </c>
      <c r="M489" s="315">
        <f>+L489</f>
        <v>13440</v>
      </c>
      <c r="N489" s="316">
        <v>0</v>
      </c>
      <c r="O489" s="316">
        <f t="shared" si="11"/>
        <v>13440</v>
      </c>
      <c r="P489" s="290"/>
      <c r="Q489" s="316"/>
    </row>
    <row r="490" spans="1:17" s="82" customFormat="1" ht="24.95" customHeight="1">
      <c r="A490" s="284"/>
      <c r="B490" s="285"/>
      <c r="C490" s="285"/>
      <c r="D490" s="304"/>
      <c r="E490" s="509" t="s">
        <v>1021</v>
      </c>
      <c r="F490" s="510"/>
      <c r="G490" s="510"/>
      <c r="H490" s="510"/>
      <c r="I490" s="510"/>
      <c r="J490" s="511"/>
      <c r="K490" s="511"/>
      <c r="L490" s="291"/>
      <c r="M490" s="315"/>
      <c r="N490" s="316"/>
      <c r="O490" s="316"/>
      <c r="P490" s="290"/>
      <c r="Q490" s="316"/>
    </row>
    <row r="491" spans="1:17" s="82" customFormat="1" ht="24.95" customHeight="1">
      <c r="A491" s="284"/>
      <c r="B491" s="285"/>
      <c r="C491" s="285"/>
      <c r="D491" s="304"/>
      <c r="E491" s="292"/>
      <c r="F491" s="293"/>
      <c r="G491" s="523" t="s">
        <v>1920</v>
      </c>
      <c r="H491" s="523"/>
      <c r="I491" s="523"/>
      <c r="J491" s="296"/>
      <c r="K491" s="296"/>
      <c r="L491" s="291"/>
      <c r="M491" s="315"/>
      <c r="N491" s="316"/>
      <c r="O491" s="316"/>
      <c r="P491" s="290"/>
      <c r="Q491" s="316"/>
    </row>
    <row r="492" spans="1:17" s="82" customFormat="1" ht="24.95" customHeight="1">
      <c r="A492" s="284"/>
      <c r="B492" s="285"/>
      <c r="C492" s="285"/>
      <c r="D492" s="304"/>
      <c r="E492" s="516" t="s">
        <v>1735</v>
      </c>
      <c r="F492" s="518"/>
      <c r="G492" s="518"/>
      <c r="H492" s="518"/>
      <c r="I492" s="518"/>
      <c r="J492" s="518"/>
      <c r="K492" s="518"/>
      <c r="L492" s="291">
        <f>ROUNDDOWN(((70000*10)+(47000*10))*12/1000,0)</f>
        <v>14040</v>
      </c>
      <c r="M492" s="315">
        <f>+L492</f>
        <v>14040</v>
      </c>
      <c r="N492" s="316">
        <v>21060</v>
      </c>
      <c r="O492" s="316">
        <f t="shared" si="11"/>
        <v>-7020</v>
      </c>
      <c r="P492" s="290"/>
      <c r="Q492" s="316" t="s">
        <v>1479</v>
      </c>
    </row>
    <row r="493" spans="1:17" s="82" customFormat="1" ht="24.95" customHeight="1">
      <c r="A493" s="284"/>
      <c r="B493" s="285"/>
      <c r="C493" s="285"/>
      <c r="D493" s="304"/>
      <c r="E493" s="300"/>
      <c r="F493" s="307"/>
      <c r="G493" s="523" t="s">
        <v>1921</v>
      </c>
      <c r="H493" s="523"/>
      <c r="I493" s="523"/>
      <c r="J493" s="308"/>
      <c r="K493" s="308"/>
      <c r="L493" s="291"/>
      <c r="M493" s="315"/>
      <c r="N493" s="316"/>
      <c r="O493" s="316"/>
      <c r="P493" s="290"/>
      <c r="Q493" s="316"/>
    </row>
    <row r="494" spans="1:17" s="82" customFormat="1" ht="24.95" customHeight="1">
      <c r="A494" s="284"/>
      <c r="B494" s="285"/>
      <c r="C494" s="285"/>
      <c r="D494" s="304"/>
      <c r="E494" s="300"/>
      <c r="F494" s="518" t="s">
        <v>1736</v>
      </c>
      <c r="G494" s="518"/>
      <c r="H494" s="518"/>
      <c r="I494" s="518"/>
      <c r="J494" s="518"/>
      <c r="K494" s="518"/>
      <c r="L494" s="291">
        <f>ROUNDDOWN(((70000*5)+(47000*5))*12/1000*80%,0)</f>
        <v>5616</v>
      </c>
      <c r="M494" s="315">
        <f>+L494</f>
        <v>5616</v>
      </c>
      <c r="N494" s="316">
        <v>0</v>
      </c>
      <c r="O494" s="316">
        <f t="shared" si="11"/>
        <v>5616</v>
      </c>
      <c r="P494" s="290"/>
      <c r="Q494" s="316"/>
    </row>
    <row r="495" spans="1:17" s="82" customFormat="1" ht="24.95" customHeight="1">
      <c r="A495" s="284"/>
      <c r="B495" s="285"/>
      <c r="C495" s="285"/>
      <c r="D495" s="304"/>
      <c r="E495" s="509" t="s">
        <v>1022</v>
      </c>
      <c r="F495" s="510"/>
      <c r="G495" s="510"/>
      <c r="H495" s="510"/>
      <c r="I495" s="510"/>
      <c r="J495" s="511"/>
      <c r="K495" s="511"/>
      <c r="L495" s="291"/>
      <c r="M495" s="315"/>
      <c r="N495" s="316"/>
      <c r="O495" s="316"/>
      <c r="P495" s="290"/>
      <c r="Q495" s="316"/>
    </row>
    <row r="496" spans="1:17" s="82" customFormat="1" ht="24.95" customHeight="1">
      <c r="A496" s="284"/>
      <c r="B496" s="285"/>
      <c r="C496" s="285"/>
      <c r="D496" s="304"/>
      <c r="E496" s="292"/>
      <c r="F496" s="293"/>
      <c r="G496" s="510" t="s">
        <v>1087</v>
      </c>
      <c r="H496" s="510"/>
      <c r="I496" s="510"/>
      <c r="J496" s="296"/>
      <c r="K496" s="296"/>
      <c r="L496" s="291"/>
      <c r="M496" s="315"/>
      <c r="N496" s="316"/>
      <c r="O496" s="316"/>
      <c r="P496" s="290"/>
      <c r="Q496" s="316"/>
    </row>
    <row r="497" spans="1:17" s="82" customFormat="1" ht="24.95" customHeight="1">
      <c r="A497" s="284"/>
      <c r="B497" s="285"/>
      <c r="C497" s="285"/>
      <c r="D497" s="304"/>
      <c r="E497" s="509"/>
      <c r="F497" s="510"/>
      <c r="G497" s="510"/>
      <c r="H497" s="510"/>
      <c r="I497" s="510"/>
      <c r="J497" s="511" t="s">
        <v>1737</v>
      </c>
      <c r="K497" s="511"/>
      <c r="L497" s="291">
        <f>ROUNDDOWN(50000*11*0.012,0)</f>
        <v>6600</v>
      </c>
      <c r="M497" s="315">
        <f>+L497</f>
        <v>6600</v>
      </c>
      <c r="N497" s="316">
        <v>9000</v>
      </c>
      <c r="O497" s="316">
        <f t="shared" si="11"/>
        <v>-2400</v>
      </c>
      <c r="P497" s="290"/>
      <c r="Q497" s="316" t="s">
        <v>1479</v>
      </c>
    </row>
    <row r="498" spans="1:17" s="82" customFormat="1" ht="24.95" customHeight="1">
      <c r="A498" s="284"/>
      <c r="B498" s="285"/>
      <c r="C498" s="285"/>
      <c r="D498" s="304"/>
      <c r="E498" s="292"/>
      <c r="F498" s="293"/>
      <c r="G498" s="510" t="s">
        <v>1922</v>
      </c>
      <c r="H498" s="510"/>
      <c r="I498" s="510"/>
      <c r="J498" s="308"/>
      <c r="K498" s="308"/>
      <c r="L498" s="291"/>
      <c r="M498" s="315"/>
      <c r="N498" s="316"/>
      <c r="O498" s="316"/>
      <c r="P498" s="290"/>
      <c r="Q498" s="316"/>
    </row>
    <row r="499" spans="1:17" s="82" customFormat="1" ht="24.95" customHeight="1">
      <c r="A499" s="284"/>
      <c r="B499" s="285"/>
      <c r="C499" s="285"/>
      <c r="D499" s="304"/>
      <c r="E499" s="516" t="s">
        <v>1738</v>
      </c>
      <c r="F499" s="511"/>
      <c r="G499" s="511"/>
      <c r="H499" s="511"/>
      <c r="I499" s="511"/>
      <c r="J499" s="511"/>
      <c r="K499" s="511"/>
      <c r="L499" s="291">
        <f>ROUNDDOWN(50000*4*0.012*80%,0)</f>
        <v>1920</v>
      </c>
      <c r="M499" s="315">
        <f>+L499</f>
        <v>1920</v>
      </c>
      <c r="N499" s="316">
        <v>0</v>
      </c>
      <c r="O499" s="316">
        <f t="shared" si="11"/>
        <v>1920</v>
      </c>
      <c r="P499" s="290"/>
      <c r="Q499" s="316"/>
    </row>
    <row r="500" spans="1:17" s="82" customFormat="1" ht="24.95" customHeight="1">
      <c r="A500" s="284"/>
      <c r="B500" s="285"/>
      <c r="C500" s="285"/>
      <c r="D500" s="304"/>
      <c r="E500" s="509" t="s">
        <v>1023</v>
      </c>
      <c r="F500" s="510"/>
      <c r="G500" s="510"/>
      <c r="H500" s="510"/>
      <c r="I500" s="510"/>
      <c r="J500" s="511"/>
      <c r="K500" s="511"/>
      <c r="L500" s="291"/>
      <c r="M500" s="315"/>
      <c r="N500" s="316"/>
      <c r="O500" s="316"/>
      <c r="P500" s="290"/>
      <c r="Q500" s="316"/>
    </row>
    <row r="501" spans="1:17" s="82" customFormat="1" ht="24.95" customHeight="1">
      <c r="A501" s="284"/>
      <c r="B501" s="285"/>
      <c r="C501" s="285"/>
      <c r="D501" s="304"/>
      <c r="E501" s="292"/>
      <c r="F501" s="293"/>
      <c r="G501" s="510" t="s">
        <v>1010</v>
      </c>
      <c r="H501" s="510"/>
      <c r="I501" s="510"/>
      <c r="J501" s="296"/>
      <c r="K501" s="296"/>
      <c r="L501" s="291"/>
      <c r="M501" s="315"/>
      <c r="N501" s="316"/>
      <c r="O501" s="316"/>
      <c r="P501" s="290"/>
      <c r="Q501" s="316"/>
    </row>
    <row r="502" spans="1:17" s="82" customFormat="1" ht="24.95" customHeight="1">
      <c r="A502" s="284"/>
      <c r="B502" s="285"/>
      <c r="C502" s="285"/>
      <c r="D502" s="304"/>
      <c r="E502" s="516" t="s">
        <v>1739</v>
      </c>
      <c r="F502" s="518"/>
      <c r="G502" s="518"/>
      <c r="H502" s="518"/>
      <c r="I502" s="518"/>
      <c r="J502" s="518"/>
      <c r="K502" s="518"/>
      <c r="L502" s="291">
        <f>ROUNDDOWN(40000*3*4*0.012,0)</f>
        <v>5760</v>
      </c>
      <c r="M502" s="315">
        <f>+L502</f>
        <v>5760</v>
      </c>
      <c r="N502" s="316">
        <v>28800</v>
      </c>
      <c r="O502" s="316">
        <f t="shared" si="11"/>
        <v>-23040</v>
      </c>
      <c r="P502" s="290"/>
      <c r="Q502" s="316" t="s">
        <v>1568</v>
      </c>
    </row>
    <row r="503" spans="1:17" s="82" customFormat="1" ht="24.95" customHeight="1">
      <c r="A503" s="284"/>
      <c r="B503" s="285"/>
      <c r="C503" s="285"/>
      <c r="D503" s="304"/>
      <c r="E503" s="300"/>
      <c r="F503" s="307"/>
      <c r="G503" s="523" t="s">
        <v>1863</v>
      </c>
      <c r="H503" s="523"/>
      <c r="I503" s="523"/>
      <c r="J503" s="308"/>
      <c r="K503" s="308"/>
      <c r="L503" s="291"/>
      <c r="M503" s="315"/>
      <c r="N503" s="316"/>
      <c r="O503" s="316"/>
      <c r="P503" s="290"/>
      <c r="Q503" s="316"/>
    </row>
    <row r="504" spans="1:17" s="82" customFormat="1" ht="24.95" customHeight="1">
      <c r="A504" s="284"/>
      <c r="B504" s="285"/>
      <c r="C504" s="285"/>
      <c r="D504" s="304"/>
      <c r="E504" s="516" t="s">
        <v>1740</v>
      </c>
      <c r="F504" s="518"/>
      <c r="G504" s="518"/>
      <c r="H504" s="518"/>
      <c r="I504" s="518"/>
      <c r="J504" s="518"/>
      <c r="K504" s="518"/>
      <c r="L504" s="291">
        <f>ROUNDDOWN(40000*12*4*0.012*50%,0)</f>
        <v>11520</v>
      </c>
      <c r="M504" s="315">
        <f>+L504</f>
        <v>11520</v>
      </c>
      <c r="N504" s="316">
        <v>0</v>
      </c>
      <c r="O504" s="316">
        <f t="shared" si="11"/>
        <v>11520</v>
      </c>
      <c r="P504" s="290"/>
      <c r="Q504" s="316"/>
    </row>
    <row r="505" spans="1:17" s="82" customFormat="1" ht="24.95" customHeight="1">
      <c r="A505" s="284"/>
      <c r="B505" s="285"/>
      <c r="C505" s="285"/>
      <c r="D505" s="304"/>
      <c r="E505" s="292"/>
      <c r="F505" s="293"/>
      <c r="G505" s="510" t="s">
        <v>1741</v>
      </c>
      <c r="H505" s="510"/>
      <c r="I505" s="510"/>
      <c r="J505" s="296"/>
      <c r="K505" s="296"/>
      <c r="L505" s="291"/>
      <c r="M505" s="315"/>
      <c r="N505" s="316"/>
      <c r="O505" s="316"/>
      <c r="P505" s="290"/>
      <c r="Q505" s="316"/>
    </row>
    <row r="506" spans="1:17" s="82" customFormat="1" ht="24.95" customHeight="1">
      <c r="A506" s="284"/>
      <c r="B506" s="285"/>
      <c r="C506" s="285"/>
      <c r="D506" s="304"/>
      <c r="E506" s="516" t="s">
        <v>1742</v>
      </c>
      <c r="F506" s="518"/>
      <c r="G506" s="518"/>
      <c r="H506" s="518"/>
      <c r="I506" s="518"/>
      <c r="J506" s="518"/>
      <c r="K506" s="518"/>
      <c r="L506" s="291">
        <f>ROUNDDOWN(37000*3*4*0.012,0)</f>
        <v>5328</v>
      </c>
      <c r="M506" s="315">
        <f>+L506</f>
        <v>5328</v>
      </c>
      <c r="N506" s="316">
        <v>30192</v>
      </c>
      <c r="O506" s="316">
        <f t="shared" si="11"/>
        <v>-24864</v>
      </c>
      <c r="P506" s="290"/>
      <c r="Q506" s="316" t="s">
        <v>1568</v>
      </c>
    </row>
    <row r="507" spans="1:17" s="82" customFormat="1" ht="24.95" customHeight="1">
      <c r="A507" s="284"/>
      <c r="B507" s="285"/>
      <c r="C507" s="285"/>
      <c r="D507" s="304"/>
      <c r="E507" s="300"/>
      <c r="F507" s="307"/>
      <c r="G507" s="523" t="s">
        <v>1864</v>
      </c>
      <c r="H507" s="523"/>
      <c r="I507" s="523"/>
      <c r="J507" s="308"/>
      <c r="K507" s="308"/>
      <c r="L507" s="291"/>
      <c r="M507" s="315"/>
      <c r="N507" s="316"/>
      <c r="O507" s="316"/>
      <c r="P507" s="290"/>
      <c r="Q507" s="316"/>
    </row>
    <row r="508" spans="1:17" s="82" customFormat="1" ht="24.95" customHeight="1">
      <c r="A508" s="284"/>
      <c r="B508" s="285"/>
      <c r="C508" s="285"/>
      <c r="D508" s="304"/>
      <c r="E508" s="516" t="s">
        <v>1743</v>
      </c>
      <c r="F508" s="518"/>
      <c r="G508" s="518"/>
      <c r="H508" s="518"/>
      <c r="I508" s="518"/>
      <c r="J508" s="518"/>
      <c r="K508" s="518"/>
      <c r="L508" s="291">
        <f>ROUNDDOWN(37000*14*4*0.012*50%,0)</f>
        <v>12432</v>
      </c>
      <c r="M508" s="315">
        <f>+L508</f>
        <v>12432</v>
      </c>
      <c r="N508" s="316">
        <v>0</v>
      </c>
      <c r="O508" s="316">
        <f t="shared" si="11"/>
        <v>12432</v>
      </c>
      <c r="P508" s="290"/>
      <c r="Q508" s="316"/>
    </row>
    <row r="509" spans="1:17" s="236" customFormat="1" ht="24.95" hidden="1" customHeight="1">
      <c r="A509" s="301"/>
      <c r="B509" s="302"/>
      <c r="C509" s="302"/>
      <c r="D509" s="309"/>
      <c r="E509" s="509" t="s">
        <v>1024</v>
      </c>
      <c r="F509" s="510"/>
      <c r="G509" s="510"/>
      <c r="H509" s="510"/>
      <c r="I509" s="510"/>
      <c r="J509" s="511"/>
      <c r="K509" s="511"/>
      <c r="L509" s="291"/>
      <c r="M509" s="315"/>
      <c r="N509" s="316"/>
      <c r="O509" s="316"/>
      <c r="P509" s="290"/>
      <c r="Q509" s="316"/>
    </row>
    <row r="510" spans="1:17" s="236" customFormat="1" ht="24.95" hidden="1" customHeight="1">
      <c r="A510" s="301"/>
      <c r="B510" s="302"/>
      <c r="C510" s="302"/>
      <c r="D510" s="309"/>
      <c r="E510" s="516" t="s">
        <v>1025</v>
      </c>
      <c r="F510" s="518"/>
      <c r="G510" s="518"/>
      <c r="H510" s="518"/>
      <c r="I510" s="518"/>
      <c r="J510" s="518"/>
      <c r="K510" s="518"/>
      <c r="L510" s="291">
        <v>0</v>
      </c>
      <c r="M510" s="315">
        <f>+L510</f>
        <v>0</v>
      </c>
      <c r="N510" s="316">
        <v>7200</v>
      </c>
      <c r="O510" s="316">
        <f t="shared" si="11"/>
        <v>-7200</v>
      </c>
      <c r="P510" s="290"/>
      <c r="Q510" s="316" t="s">
        <v>1744</v>
      </c>
    </row>
    <row r="511" spans="1:17" s="82" customFormat="1" ht="24.95" customHeight="1">
      <c r="A511" s="284"/>
      <c r="B511" s="285"/>
      <c r="C511" s="285"/>
      <c r="D511" s="304"/>
      <c r="E511" s="509" t="s">
        <v>1026</v>
      </c>
      <c r="F511" s="510"/>
      <c r="G511" s="510"/>
      <c r="H511" s="510"/>
      <c r="I511" s="510"/>
      <c r="J511" s="511"/>
      <c r="K511" s="511"/>
      <c r="L511" s="291"/>
      <c r="M511" s="315"/>
      <c r="N511" s="316"/>
      <c r="O511" s="316"/>
      <c r="P511" s="290"/>
      <c r="Q511" s="316"/>
    </row>
    <row r="512" spans="1:17" s="82" customFormat="1" ht="24.95" customHeight="1">
      <c r="A512" s="284"/>
      <c r="B512" s="285"/>
      <c r="C512" s="285"/>
      <c r="D512" s="304"/>
      <c r="E512" s="292"/>
      <c r="F512" s="293"/>
      <c r="G512" s="510" t="s">
        <v>1010</v>
      </c>
      <c r="H512" s="510"/>
      <c r="I512" s="510"/>
      <c r="J512" s="296"/>
      <c r="K512" s="296"/>
      <c r="L512" s="291"/>
      <c r="M512" s="315"/>
      <c r="N512" s="316"/>
      <c r="O512" s="316"/>
      <c r="P512" s="290"/>
      <c r="Q512" s="316"/>
    </row>
    <row r="513" spans="1:17" s="82" customFormat="1" ht="24.95" customHeight="1">
      <c r="A513" s="284"/>
      <c r="B513" s="285"/>
      <c r="C513" s="285"/>
      <c r="D513" s="304"/>
      <c r="E513" s="516" t="s">
        <v>1745</v>
      </c>
      <c r="F513" s="518"/>
      <c r="G513" s="518"/>
      <c r="H513" s="518"/>
      <c r="I513" s="518"/>
      <c r="J513" s="518"/>
      <c r="K513" s="518"/>
      <c r="L513" s="291">
        <f>ROUNDDOWN(55000*12*4*0.012,0)</f>
        <v>31680</v>
      </c>
      <c r="M513" s="315">
        <f>+L513</f>
        <v>31680</v>
      </c>
      <c r="N513" s="316">
        <v>44880</v>
      </c>
      <c r="O513" s="316">
        <f t="shared" si="11"/>
        <v>-13200</v>
      </c>
      <c r="P513" s="290"/>
      <c r="Q513" s="316" t="s">
        <v>1665</v>
      </c>
    </row>
    <row r="514" spans="1:17" s="82" customFormat="1" ht="24.95" customHeight="1">
      <c r="A514" s="284"/>
      <c r="B514" s="285"/>
      <c r="C514" s="285"/>
      <c r="D514" s="304"/>
      <c r="E514" s="300"/>
      <c r="F514" s="307"/>
      <c r="G514" s="523" t="s">
        <v>1865</v>
      </c>
      <c r="H514" s="523"/>
      <c r="I514" s="523"/>
      <c r="J514" s="308"/>
      <c r="K514" s="308"/>
      <c r="L514" s="291"/>
      <c r="M514" s="315"/>
      <c r="N514" s="316"/>
      <c r="O514" s="316"/>
      <c r="P514" s="290"/>
      <c r="Q514" s="316"/>
    </row>
    <row r="515" spans="1:17" s="82" customFormat="1" ht="24.95" customHeight="1">
      <c r="A515" s="284"/>
      <c r="B515" s="285"/>
      <c r="C515" s="285"/>
      <c r="D515" s="304"/>
      <c r="E515" s="516" t="s">
        <v>1746</v>
      </c>
      <c r="F515" s="518"/>
      <c r="G515" s="518"/>
      <c r="H515" s="518"/>
      <c r="I515" s="518"/>
      <c r="J515" s="518"/>
      <c r="K515" s="518"/>
      <c r="L515" s="291">
        <f>ROUNDDOWN(55000*4*4*0.012*80%,0)</f>
        <v>8448</v>
      </c>
      <c r="M515" s="315">
        <f>+L515</f>
        <v>8448</v>
      </c>
      <c r="N515" s="316">
        <v>0</v>
      </c>
      <c r="O515" s="316">
        <f t="shared" si="11"/>
        <v>8448</v>
      </c>
      <c r="P515" s="290"/>
      <c r="Q515" s="316"/>
    </row>
    <row r="516" spans="1:17" s="82" customFormat="1" ht="24.95" customHeight="1">
      <c r="A516" s="284"/>
      <c r="B516" s="285"/>
      <c r="C516" s="285"/>
      <c r="D516" s="304"/>
      <c r="E516" s="300"/>
      <c r="F516" s="307"/>
      <c r="G516" s="523" t="s">
        <v>1863</v>
      </c>
      <c r="H516" s="523"/>
      <c r="I516" s="523"/>
      <c r="J516" s="308"/>
      <c r="K516" s="308"/>
      <c r="L516" s="291"/>
      <c r="M516" s="315"/>
      <c r="N516" s="316"/>
      <c r="O516" s="316"/>
      <c r="P516" s="290"/>
      <c r="Q516" s="316"/>
    </row>
    <row r="517" spans="1:17" s="82" customFormat="1" ht="24.95" customHeight="1">
      <c r="A517" s="284"/>
      <c r="B517" s="285"/>
      <c r="C517" s="285"/>
      <c r="D517" s="304"/>
      <c r="E517" s="516" t="s">
        <v>1747</v>
      </c>
      <c r="F517" s="518"/>
      <c r="G517" s="518"/>
      <c r="H517" s="518"/>
      <c r="I517" s="518"/>
      <c r="J517" s="518"/>
      <c r="K517" s="518"/>
      <c r="L517" s="291">
        <f>ROUNDDOWN(55000*1*4*0.012*50%,0)</f>
        <v>1320</v>
      </c>
      <c r="M517" s="315">
        <f>+L517</f>
        <v>1320</v>
      </c>
      <c r="N517" s="316">
        <v>0</v>
      </c>
      <c r="O517" s="316">
        <f t="shared" si="11"/>
        <v>1320</v>
      </c>
      <c r="P517" s="290"/>
      <c r="Q517" s="316"/>
    </row>
    <row r="518" spans="1:17" s="82" customFormat="1" ht="24.95" customHeight="1">
      <c r="A518" s="284"/>
      <c r="B518" s="285"/>
      <c r="C518" s="285"/>
      <c r="D518" s="304"/>
      <c r="E518" s="292"/>
      <c r="F518" s="293"/>
      <c r="G518" s="510" t="s">
        <v>1011</v>
      </c>
      <c r="H518" s="510"/>
      <c r="I518" s="510"/>
      <c r="J518" s="296"/>
      <c r="K518" s="296"/>
      <c r="L518" s="291"/>
      <c r="M518" s="315"/>
      <c r="N518" s="316"/>
      <c r="O518" s="316"/>
      <c r="P518" s="290"/>
      <c r="Q518" s="316"/>
    </row>
    <row r="519" spans="1:17" s="82" customFormat="1" ht="24.95" customHeight="1">
      <c r="A519" s="284"/>
      <c r="B519" s="285"/>
      <c r="C519" s="285"/>
      <c r="D519" s="304"/>
      <c r="E519" s="516" t="s">
        <v>1748</v>
      </c>
      <c r="F519" s="518"/>
      <c r="G519" s="518"/>
      <c r="H519" s="518"/>
      <c r="I519" s="518"/>
      <c r="J519" s="518"/>
      <c r="K519" s="518"/>
      <c r="L519" s="291">
        <f>ROUNDDOWN(42000*12*3*12/1000,0)</f>
        <v>18144</v>
      </c>
      <c r="M519" s="315">
        <f>+L519</f>
        <v>18144</v>
      </c>
      <c r="N519" s="316">
        <v>25704</v>
      </c>
      <c r="O519" s="316">
        <f t="shared" si="11"/>
        <v>-7560</v>
      </c>
      <c r="P519" s="290"/>
      <c r="Q519" s="316" t="s">
        <v>1665</v>
      </c>
    </row>
    <row r="520" spans="1:17" s="82" customFormat="1" ht="24.95" customHeight="1">
      <c r="A520" s="284"/>
      <c r="B520" s="285"/>
      <c r="C520" s="285"/>
      <c r="D520" s="304"/>
      <c r="E520" s="300"/>
      <c r="F520" s="307"/>
      <c r="G520" s="523" t="s">
        <v>1866</v>
      </c>
      <c r="H520" s="523"/>
      <c r="I520" s="523"/>
      <c r="J520" s="308"/>
      <c r="K520" s="308"/>
      <c r="L520" s="291"/>
      <c r="M520" s="315"/>
      <c r="N520" s="316"/>
      <c r="O520" s="316"/>
      <c r="P520" s="290"/>
      <c r="Q520" s="316"/>
    </row>
    <row r="521" spans="1:17" s="82" customFormat="1" ht="24.95" customHeight="1">
      <c r="A521" s="284"/>
      <c r="B521" s="285"/>
      <c r="C521" s="285"/>
      <c r="D521" s="304"/>
      <c r="E521" s="516" t="s">
        <v>1749</v>
      </c>
      <c r="F521" s="518"/>
      <c r="G521" s="518"/>
      <c r="H521" s="518"/>
      <c r="I521" s="518"/>
      <c r="J521" s="518"/>
      <c r="K521" s="518"/>
      <c r="L521" s="291">
        <f>ROUNDDOWN(42000*3*3*12/1000*80%,0)</f>
        <v>3628</v>
      </c>
      <c r="M521" s="315">
        <f>+L521</f>
        <v>3628</v>
      </c>
      <c r="N521" s="316">
        <v>0</v>
      </c>
      <c r="O521" s="316">
        <f t="shared" si="11"/>
        <v>3628</v>
      </c>
      <c r="P521" s="290"/>
      <c r="Q521" s="316"/>
    </row>
    <row r="522" spans="1:17" s="82" customFormat="1" ht="24.95" customHeight="1">
      <c r="A522" s="284"/>
      <c r="B522" s="285"/>
      <c r="C522" s="285"/>
      <c r="D522" s="304"/>
      <c r="E522" s="300"/>
      <c r="F522" s="307"/>
      <c r="G522" s="524" t="s">
        <v>1867</v>
      </c>
      <c r="H522" s="524"/>
      <c r="I522" s="524"/>
      <c r="J522" s="308"/>
      <c r="K522" s="308"/>
      <c r="L522" s="291"/>
      <c r="M522" s="315"/>
      <c r="N522" s="316"/>
      <c r="O522" s="316"/>
      <c r="P522" s="290"/>
      <c r="Q522" s="316"/>
    </row>
    <row r="523" spans="1:17" s="82" customFormat="1" ht="24.95" customHeight="1">
      <c r="A523" s="284"/>
      <c r="B523" s="285"/>
      <c r="C523" s="285"/>
      <c r="D523" s="304"/>
      <c r="E523" s="516" t="s">
        <v>1750</v>
      </c>
      <c r="F523" s="518"/>
      <c r="G523" s="518"/>
      <c r="H523" s="518"/>
      <c r="I523" s="518"/>
      <c r="J523" s="518"/>
      <c r="K523" s="518"/>
      <c r="L523" s="291">
        <f>ROUNDDOWN(42000*2*3*12/1000*50%,0)</f>
        <v>1512</v>
      </c>
      <c r="M523" s="315">
        <f>+L523</f>
        <v>1512</v>
      </c>
      <c r="N523" s="316">
        <v>0</v>
      </c>
      <c r="O523" s="316">
        <f t="shared" si="11"/>
        <v>1512</v>
      </c>
      <c r="P523" s="290"/>
      <c r="Q523" s="316"/>
    </row>
    <row r="524" spans="1:17" s="82" customFormat="1" ht="24.95" customHeight="1">
      <c r="A524" s="284"/>
      <c r="B524" s="285"/>
      <c r="C524" s="285"/>
      <c r="D524" s="304"/>
      <c r="E524" s="509" t="s">
        <v>1027</v>
      </c>
      <c r="F524" s="510"/>
      <c r="G524" s="510"/>
      <c r="H524" s="510"/>
      <c r="I524" s="510"/>
      <c r="J524" s="511"/>
      <c r="K524" s="511"/>
      <c r="L524" s="291"/>
      <c r="M524" s="315"/>
      <c r="N524" s="316"/>
      <c r="O524" s="316"/>
      <c r="P524" s="290"/>
      <c r="Q524" s="316"/>
    </row>
    <row r="525" spans="1:17" s="82" customFormat="1" ht="24.95" customHeight="1">
      <c r="A525" s="284"/>
      <c r="B525" s="285"/>
      <c r="C525" s="285"/>
      <c r="D525" s="304"/>
      <c r="E525" s="292"/>
      <c r="F525" s="293"/>
      <c r="G525" s="523" t="s">
        <v>1087</v>
      </c>
      <c r="H525" s="523"/>
      <c r="I525" s="523"/>
      <c r="J525" s="296"/>
      <c r="K525" s="296"/>
      <c r="L525" s="291"/>
      <c r="M525" s="315"/>
      <c r="N525" s="316"/>
      <c r="O525" s="316"/>
      <c r="P525" s="290"/>
      <c r="Q525" s="316"/>
    </row>
    <row r="526" spans="1:17" s="82" customFormat="1" ht="24.95" customHeight="1">
      <c r="A526" s="284"/>
      <c r="B526" s="285"/>
      <c r="C526" s="285"/>
      <c r="D526" s="304"/>
      <c r="E526" s="516" t="s">
        <v>1751</v>
      </c>
      <c r="F526" s="518"/>
      <c r="G526" s="518"/>
      <c r="H526" s="518"/>
      <c r="I526" s="518"/>
      <c r="J526" s="518"/>
      <c r="K526" s="518"/>
      <c r="L526" s="291">
        <f>ROUNDDOWN(((48000*8)+(40000*5))*12/1000,0)</f>
        <v>7008</v>
      </c>
      <c r="M526" s="315">
        <f>+L526</f>
        <v>7008</v>
      </c>
      <c r="N526" s="316">
        <v>8160</v>
      </c>
      <c r="O526" s="316">
        <f t="shared" ref="O526:O569" si="12">+M526-N526</f>
        <v>-1152</v>
      </c>
      <c r="P526" s="290"/>
      <c r="Q526" s="316" t="s">
        <v>1479</v>
      </c>
    </row>
    <row r="527" spans="1:17" s="82" customFormat="1" ht="24.95" customHeight="1">
      <c r="A527" s="284"/>
      <c r="B527" s="285"/>
      <c r="C527" s="285"/>
      <c r="D527" s="304"/>
      <c r="E527" s="300"/>
      <c r="F527" s="307"/>
      <c r="G527" s="523" t="s">
        <v>1868</v>
      </c>
      <c r="H527" s="523"/>
      <c r="I527" s="523"/>
      <c r="J527" s="308"/>
      <c r="K527" s="308"/>
      <c r="L527" s="291"/>
      <c r="M527" s="315"/>
      <c r="N527" s="316"/>
      <c r="O527" s="316"/>
      <c r="P527" s="290"/>
      <c r="Q527" s="316"/>
    </row>
    <row r="528" spans="1:17" s="82" customFormat="1" ht="24.95" customHeight="1">
      <c r="A528" s="284"/>
      <c r="B528" s="285"/>
      <c r="C528" s="285"/>
      <c r="D528" s="304"/>
      <c r="E528" s="516" t="s">
        <v>1752</v>
      </c>
      <c r="F528" s="518"/>
      <c r="G528" s="518"/>
      <c r="H528" s="518"/>
      <c r="I528" s="518"/>
      <c r="J528" s="518"/>
      <c r="K528" s="518"/>
      <c r="L528" s="291">
        <f>ROUNDDOWN(((48000*2)+(40000*5))*12/1000*80%,0)</f>
        <v>2841</v>
      </c>
      <c r="M528" s="315">
        <f>+L528</f>
        <v>2841</v>
      </c>
      <c r="N528" s="316">
        <v>0</v>
      </c>
      <c r="O528" s="316">
        <f t="shared" si="12"/>
        <v>2841</v>
      </c>
      <c r="P528" s="290"/>
      <c r="Q528" s="316"/>
    </row>
    <row r="529" spans="1:17" s="82" customFormat="1" ht="24.95" customHeight="1">
      <c r="A529" s="284"/>
      <c r="B529" s="285"/>
      <c r="C529" s="285"/>
      <c r="D529" s="304"/>
      <c r="E529" s="509" t="s">
        <v>1028</v>
      </c>
      <c r="F529" s="510"/>
      <c r="G529" s="510"/>
      <c r="H529" s="510"/>
      <c r="I529" s="510"/>
      <c r="J529" s="511"/>
      <c r="K529" s="511"/>
      <c r="L529" s="291"/>
      <c r="M529" s="315"/>
      <c r="N529" s="316"/>
      <c r="O529" s="316"/>
      <c r="P529" s="290"/>
      <c r="Q529" s="316"/>
    </row>
    <row r="530" spans="1:17" s="82" customFormat="1" ht="24.95" customHeight="1">
      <c r="A530" s="284"/>
      <c r="B530" s="285"/>
      <c r="C530" s="285"/>
      <c r="D530" s="304"/>
      <c r="E530" s="292"/>
      <c r="F530" s="293"/>
      <c r="G530" s="510" t="s">
        <v>1087</v>
      </c>
      <c r="H530" s="510"/>
      <c r="I530" s="510"/>
      <c r="J530" s="296"/>
      <c r="K530" s="296"/>
      <c r="L530" s="291"/>
      <c r="M530" s="315"/>
      <c r="N530" s="316"/>
      <c r="O530" s="316"/>
      <c r="P530" s="290"/>
      <c r="Q530" s="316"/>
    </row>
    <row r="531" spans="1:17" s="82" customFormat="1" ht="24.95" customHeight="1">
      <c r="A531" s="284"/>
      <c r="B531" s="285"/>
      <c r="C531" s="285"/>
      <c r="D531" s="304"/>
      <c r="E531" s="509"/>
      <c r="F531" s="510"/>
      <c r="G531" s="510"/>
      <c r="H531" s="510"/>
      <c r="I531" s="510"/>
      <c r="J531" s="511" t="s">
        <v>1753</v>
      </c>
      <c r="K531" s="511"/>
      <c r="L531" s="291">
        <f>ROUNDDOWN(34000*11*0.012,0)</f>
        <v>4488</v>
      </c>
      <c r="M531" s="315">
        <f>+L531</f>
        <v>4488</v>
      </c>
      <c r="N531" s="316">
        <v>4896</v>
      </c>
      <c r="O531" s="316">
        <f t="shared" si="12"/>
        <v>-408</v>
      </c>
      <c r="P531" s="290"/>
      <c r="Q531" s="316" t="s">
        <v>1479</v>
      </c>
    </row>
    <row r="532" spans="1:17" s="82" customFormat="1" ht="24.95" customHeight="1">
      <c r="A532" s="284"/>
      <c r="B532" s="285"/>
      <c r="C532" s="285"/>
      <c r="D532" s="304"/>
      <c r="E532" s="292"/>
      <c r="F532" s="293"/>
      <c r="G532" s="510" t="s">
        <v>1868</v>
      </c>
      <c r="H532" s="510"/>
      <c r="I532" s="510"/>
      <c r="J532" s="308"/>
      <c r="K532" s="308"/>
      <c r="L532" s="291"/>
      <c r="M532" s="315"/>
      <c r="N532" s="316"/>
      <c r="O532" s="316"/>
      <c r="P532" s="290"/>
      <c r="Q532" s="316"/>
    </row>
    <row r="533" spans="1:17" s="82" customFormat="1" ht="24.95" customHeight="1">
      <c r="A533" s="284"/>
      <c r="B533" s="285"/>
      <c r="C533" s="285"/>
      <c r="D533" s="304"/>
      <c r="E533" s="516" t="s">
        <v>1754</v>
      </c>
      <c r="F533" s="511"/>
      <c r="G533" s="511"/>
      <c r="H533" s="511"/>
      <c r="I533" s="511"/>
      <c r="J533" s="511"/>
      <c r="K533" s="511"/>
      <c r="L533" s="291">
        <f>ROUNDDOWN(34000*1*0.012*80%,0)</f>
        <v>326</v>
      </c>
      <c r="M533" s="315">
        <f>+L533</f>
        <v>326</v>
      </c>
      <c r="N533" s="316">
        <v>0</v>
      </c>
      <c r="O533" s="316">
        <f t="shared" si="12"/>
        <v>326</v>
      </c>
      <c r="P533" s="290"/>
      <c r="Q533" s="316"/>
    </row>
    <row r="534" spans="1:17" s="236" customFormat="1" ht="24.95" hidden="1" customHeight="1">
      <c r="A534" s="301"/>
      <c r="B534" s="302"/>
      <c r="C534" s="302"/>
      <c r="D534" s="309"/>
      <c r="E534" s="509" t="s">
        <v>1029</v>
      </c>
      <c r="F534" s="510"/>
      <c r="G534" s="510"/>
      <c r="H534" s="510"/>
      <c r="I534" s="510"/>
      <c r="J534" s="510" t="s">
        <v>1755</v>
      </c>
      <c r="K534" s="510"/>
      <c r="L534" s="291"/>
      <c r="M534" s="315"/>
      <c r="N534" s="316"/>
      <c r="O534" s="316"/>
      <c r="P534" s="290"/>
      <c r="Q534" s="321"/>
    </row>
    <row r="535" spans="1:17" s="236" customFormat="1" ht="24.95" hidden="1" customHeight="1">
      <c r="A535" s="301"/>
      <c r="B535" s="302"/>
      <c r="C535" s="302"/>
      <c r="D535" s="309"/>
      <c r="E535" s="516" t="s">
        <v>1973</v>
      </c>
      <c r="F535" s="511"/>
      <c r="G535" s="511"/>
      <c r="H535" s="511"/>
      <c r="I535" s="511"/>
      <c r="J535" s="511"/>
      <c r="K535" s="511"/>
      <c r="L535" s="291">
        <v>0</v>
      </c>
      <c r="M535" s="315">
        <f>+L535</f>
        <v>0</v>
      </c>
      <c r="N535" s="316">
        <v>18720</v>
      </c>
      <c r="O535" s="316">
        <f t="shared" si="12"/>
        <v>-18720</v>
      </c>
      <c r="P535" s="290"/>
      <c r="Q535" s="316" t="s">
        <v>1756</v>
      </c>
    </row>
    <row r="536" spans="1:17" s="82" customFormat="1" ht="24.95" customHeight="1">
      <c r="A536" s="284"/>
      <c r="B536" s="285"/>
      <c r="C536" s="285"/>
      <c r="D536" s="304"/>
      <c r="E536" s="509" t="s">
        <v>1030</v>
      </c>
      <c r="F536" s="510"/>
      <c r="G536" s="510"/>
      <c r="H536" s="510"/>
      <c r="I536" s="510"/>
      <c r="J536" s="511"/>
      <c r="K536" s="511"/>
      <c r="L536" s="291"/>
      <c r="M536" s="315"/>
      <c r="N536" s="316"/>
      <c r="O536" s="316"/>
      <c r="P536" s="290"/>
      <c r="Q536" s="316"/>
    </row>
    <row r="537" spans="1:17" s="82" customFormat="1" ht="24.95" customHeight="1">
      <c r="A537" s="284"/>
      <c r="B537" s="285"/>
      <c r="C537" s="285"/>
      <c r="D537" s="304"/>
      <c r="E537" s="292"/>
      <c r="F537" s="293"/>
      <c r="G537" s="510" t="s">
        <v>1031</v>
      </c>
      <c r="H537" s="510"/>
      <c r="I537" s="510"/>
      <c r="J537" s="296"/>
      <c r="K537" s="296"/>
      <c r="L537" s="291"/>
      <c r="M537" s="315"/>
      <c r="N537" s="316"/>
      <c r="O537" s="316"/>
      <c r="P537" s="290"/>
      <c r="Q537" s="316"/>
    </row>
    <row r="538" spans="1:17" s="82" customFormat="1" ht="24.95" customHeight="1">
      <c r="A538" s="284"/>
      <c r="B538" s="285"/>
      <c r="C538" s="285"/>
      <c r="D538" s="304"/>
      <c r="E538" s="509"/>
      <c r="F538" s="510"/>
      <c r="G538" s="510"/>
      <c r="H538" s="510"/>
      <c r="I538" s="510"/>
      <c r="J538" s="511" t="s">
        <v>1033</v>
      </c>
      <c r="K538" s="511"/>
      <c r="L538" s="291">
        <f>ROUNDDOWN(118000*10*0.006,0)</f>
        <v>7080</v>
      </c>
      <c r="M538" s="315">
        <f>+L538</f>
        <v>7080</v>
      </c>
      <c r="N538" s="316">
        <v>7080</v>
      </c>
      <c r="O538" s="316">
        <f t="shared" si="12"/>
        <v>0</v>
      </c>
      <c r="P538" s="290"/>
      <c r="Q538" s="316"/>
    </row>
    <row r="539" spans="1:17" s="82" customFormat="1" ht="24.95" customHeight="1">
      <c r="A539" s="284"/>
      <c r="B539" s="285"/>
      <c r="C539" s="285"/>
      <c r="D539" s="304"/>
      <c r="E539" s="292"/>
      <c r="F539" s="293"/>
      <c r="G539" s="510" t="s">
        <v>1035</v>
      </c>
      <c r="H539" s="510"/>
      <c r="I539" s="510"/>
      <c r="J539" s="296"/>
      <c r="K539" s="296"/>
      <c r="L539" s="291"/>
      <c r="M539" s="315"/>
      <c r="N539" s="316"/>
      <c r="O539" s="316"/>
      <c r="P539" s="290"/>
      <c r="Q539" s="316"/>
    </row>
    <row r="540" spans="1:17" s="82" customFormat="1" ht="24.95" customHeight="1">
      <c r="A540" s="284"/>
      <c r="B540" s="285"/>
      <c r="C540" s="285"/>
      <c r="D540" s="304"/>
      <c r="E540" s="509"/>
      <c r="F540" s="510"/>
      <c r="G540" s="510"/>
      <c r="H540" s="510"/>
      <c r="I540" s="510"/>
      <c r="J540" s="511" t="s">
        <v>1032</v>
      </c>
      <c r="K540" s="511"/>
      <c r="L540" s="291">
        <f>ROUNDDOWN(120000*3*0.002,0)</f>
        <v>720</v>
      </c>
      <c r="M540" s="315">
        <f>+L540</f>
        <v>720</v>
      </c>
      <c r="N540" s="316">
        <v>720</v>
      </c>
      <c r="O540" s="316">
        <f t="shared" si="12"/>
        <v>0</v>
      </c>
      <c r="P540" s="290"/>
      <c r="Q540" s="316"/>
    </row>
    <row r="541" spans="1:17" s="82" customFormat="1" ht="24.95" customHeight="1">
      <c r="A541" s="284"/>
      <c r="B541" s="285"/>
      <c r="C541" s="285"/>
      <c r="D541" s="304"/>
      <c r="E541" s="292"/>
      <c r="F541" s="293"/>
      <c r="G541" s="510" t="s">
        <v>1034</v>
      </c>
      <c r="H541" s="510"/>
      <c r="I541" s="510"/>
      <c r="J541" s="296"/>
      <c r="K541" s="296"/>
      <c r="L541" s="291"/>
      <c r="M541" s="315"/>
      <c r="N541" s="316"/>
      <c r="O541" s="316"/>
      <c r="P541" s="290"/>
      <c r="Q541" s="316"/>
    </row>
    <row r="542" spans="1:17" s="82" customFormat="1" ht="24.95" customHeight="1">
      <c r="A542" s="284"/>
      <c r="B542" s="285"/>
      <c r="C542" s="285"/>
      <c r="D542" s="304"/>
      <c r="E542" s="509"/>
      <c r="F542" s="510"/>
      <c r="G542" s="510"/>
      <c r="H542" s="510"/>
      <c r="I542" s="510"/>
      <c r="J542" s="511" t="s">
        <v>1036</v>
      </c>
      <c r="K542" s="511"/>
      <c r="L542" s="291">
        <f>ROUNDDOWN(33000*15*0.006,0)</f>
        <v>2970</v>
      </c>
      <c r="M542" s="315">
        <f>+L542</f>
        <v>2970</v>
      </c>
      <c r="N542" s="316">
        <v>2970</v>
      </c>
      <c r="O542" s="316">
        <f t="shared" si="12"/>
        <v>0</v>
      </c>
      <c r="P542" s="290"/>
      <c r="Q542" s="316"/>
    </row>
    <row r="543" spans="1:17" s="82" customFormat="1" ht="24.95" customHeight="1">
      <c r="A543" s="284"/>
      <c r="B543" s="285"/>
      <c r="C543" s="285"/>
      <c r="D543" s="304"/>
      <c r="E543" s="509" t="s">
        <v>1037</v>
      </c>
      <c r="F543" s="510"/>
      <c r="G543" s="510"/>
      <c r="H543" s="510"/>
      <c r="I543" s="510"/>
      <c r="J543" s="511"/>
      <c r="K543" s="511"/>
      <c r="L543" s="291"/>
      <c r="M543" s="315"/>
      <c r="N543" s="316"/>
      <c r="O543" s="316"/>
      <c r="P543" s="290"/>
      <c r="Q543" s="316"/>
    </row>
    <row r="544" spans="1:17" s="82" customFormat="1" ht="24.95" customHeight="1">
      <c r="A544" s="284"/>
      <c r="B544" s="285"/>
      <c r="C544" s="285"/>
      <c r="D544" s="304"/>
      <c r="E544" s="292"/>
      <c r="F544" s="293"/>
      <c r="G544" s="510" t="s">
        <v>1038</v>
      </c>
      <c r="H544" s="510"/>
      <c r="I544" s="510"/>
      <c r="J544" s="296"/>
      <c r="K544" s="296"/>
      <c r="L544" s="291"/>
      <c r="M544" s="315"/>
      <c r="N544" s="316"/>
      <c r="O544" s="316"/>
      <c r="P544" s="290"/>
      <c r="Q544" s="316"/>
    </row>
    <row r="545" spans="1:17" s="82" customFormat="1" ht="24.95" customHeight="1">
      <c r="A545" s="284"/>
      <c r="B545" s="285"/>
      <c r="C545" s="285"/>
      <c r="D545" s="304"/>
      <c r="E545" s="509"/>
      <c r="F545" s="510"/>
      <c r="G545" s="510"/>
      <c r="H545" s="510"/>
      <c r="I545" s="510"/>
      <c r="J545" s="511" t="s">
        <v>1039</v>
      </c>
      <c r="K545" s="511"/>
      <c r="L545" s="291">
        <f>ROUNDDOWN(5500*200*0.012,0)</f>
        <v>13200</v>
      </c>
      <c r="M545" s="315">
        <f>+L545</f>
        <v>13200</v>
      </c>
      <c r="N545" s="316">
        <v>13200</v>
      </c>
      <c r="O545" s="316">
        <f t="shared" si="12"/>
        <v>0</v>
      </c>
      <c r="P545" s="290"/>
      <c r="Q545" s="316"/>
    </row>
    <row r="546" spans="1:17" s="82" customFormat="1" ht="24.95" customHeight="1">
      <c r="A546" s="284"/>
      <c r="B546" s="285"/>
      <c r="C546" s="285"/>
      <c r="D546" s="304"/>
      <c r="E546" s="292"/>
      <c r="F546" s="293"/>
      <c r="G546" s="510" t="s">
        <v>1040</v>
      </c>
      <c r="H546" s="510"/>
      <c r="I546" s="510"/>
      <c r="J546" s="296"/>
      <c r="K546" s="296"/>
      <c r="L546" s="291"/>
      <c r="M546" s="315"/>
      <c r="N546" s="316"/>
      <c r="O546" s="316"/>
      <c r="P546" s="290"/>
      <c r="Q546" s="316"/>
    </row>
    <row r="547" spans="1:17" s="82" customFormat="1" ht="24.95" customHeight="1">
      <c r="A547" s="284"/>
      <c r="B547" s="285"/>
      <c r="C547" s="285"/>
      <c r="D547" s="304"/>
      <c r="E547" s="509"/>
      <c r="F547" s="510"/>
      <c r="G547" s="510"/>
      <c r="H547" s="510"/>
      <c r="I547" s="510"/>
      <c r="J547" s="511" t="s">
        <v>1041</v>
      </c>
      <c r="K547" s="511"/>
      <c r="L547" s="291">
        <f>ROUNDDOWN(7500*200*0.012,0)</f>
        <v>18000</v>
      </c>
      <c r="M547" s="315">
        <f>+L547</f>
        <v>18000</v>
      </c>
      <c r="N547" s="316">
        <v>18000</v>
      </c>
      <c r="O547" s="316">
        <f t="shared" si="12"/>
        <v>0</v>
      </c>
      <c r="P547" s="290"/>
      <c r="Q547" s="316"/>
    </row>
    <row r="548" spans="1:17" s="82" customFormat="1" ht="24.95" customHeight="1">
      <c r="A548" s="284"/>
      <c r="B548" s="285"/>
      <c r="C548" s="285"/>
      <c r="D548" s="304"/>
      <c r="E548" s="509" t="s">
        <v>1042</v>
      </c>
      <c r="F548" s="510"/>
      <c r="G548" s="510"/>
      <c r="H548" s="510"/>
      <c r="I548" s="510"/>
      <c r="J548" s="511"/>
      <c r="K548" s="511"/>
      <c r="L548" s="291"/>
      <c r="M548" s="315"/>
      <c r="N548" s="316"/>
      <c r="O548" s="316"/>
      <c r="P548" s="290"/>
      <c r="Q548" s="316"/>
    </row>
    <row r="549" spans="1:17" s="82" customFormat="1" ht="24.95" customHeight="1">
      <c r="A549" s="284"/>
      <c r="B549" s="285"/>
      <c r="C549" s="285"/>
      <c r="D549" s="304"/>
      <c r="E549" s="292"/>
      <c r="F549" s="293"/>
      <c r="G549" s="523" t="s">
        <v>1869</v>
      </c>
      <c r="H549" s="523"/>
      <c r="I549" s="523"/>
      <c r="J549" s="296"/>
      <c r="K549" s="296"/>
      <c r="L549" s="291"/>
      <c r="M549" s="315"/>
      <c r="N549" s="316"/>
      <c r="O549" s="316"/>
      <c r="P549" s="290"/>
      <c r="Q549" s="316"/>
    </row>
    <row r="550" spans="1:17" s="82" customFormat="1" ht="24.95" customHeight="1">
      <c r="A550" s="284"/>
      <c r="B550" s="285"/>
      <c r="C550" s="285"/>
      <c r="D550" s="304"/>
      <c r="E550" s="516" t="s">
        <v>1757</v>
      </c>
      <c r="F550" s="518"/>
      <c r="G550" s="518"/>
      <c r="H550" s="518"/>
      <c r="I550" s="518"/>
      <c r="J550" s="518"/>
      <c r="K550" s="518"/>
      <c r="L550" s="291">
        <f>ROUNDDOWN(((140000*5*3)+(90000*6*2))*12/1000,0)</f>
        <v>38160</v>
      </c>
      <c r="M550" s="315">
        <f>+L550</f>
        <v>38160</v>
      </c>
      <c r="N550" s="316">
        <v>55200</v>
      </c>
      <c r="O550" s="316">
        <f t="shared" si="12"/>
        <v>-17040</v>
      </c>
      <c r="P550" s="290"/>
      <c r="Q550" s="316" t="s">
        <v>1479</v>
      </c>
    </row>
    <row r="551" spans="1:17" s="82" customFormat="1" ht="24.95" customHeight="1">
      <c r="A551" s="284"/>
      <c r="B551" s="285"/>
      <c r="C551" s="285"/>
      <c r="D551" s="304"/>
      <c r="E551" s="300"/>
      <c r="F551" s="307"/>
      <c r="G551" s="523" t="s">
        <v>1870</v>
      </c>
      <c r="H551" s="523"/>
      <c r="I551" s="523"/>
      <c r="J551" s="308"/>
      <c r="K551" s="308"/>
      <c r="L551" s="291"/>
      <c r="M551" s="315"/>
      <c r="N551" s="316"/>
      <c r="O551" s="316"/>
      <c r="P551" s="290"/>
      <c r="Q551" s="322"/>
    </row>
    <row r="552" spans="1:17" s="82" customFormat="1" ht="24.95" customHeight="1">
      <c r="A552" s="284"/>
      <c r="B552" s="285"/>
      <c r="C552" s="285"/>
      <c r="D552" s="304"/>
      <c r="E552" s="516" t="s">
        <v>1758</v>
      </c>
      <c r="F552" s="518"/>
      <c r="G552" s="518"/>
      <c r="H552" s="518"/>
      <c r="I552" s="518"/>
      <c r="J552" s="518"/>
      <c r="K552" s="518"/>
      <c r="L552" s="291">
        <f>ROUNDDOWN(((140000*5*3)+(90000*4*2))*12/1000*80%,0)</f>
        <v>27072</v>
      </c>
      <c r="M552" s="315">
        <f>+L552</f>
        <v>27072</v>
      </c>
      <c r="N552" s="316">
        <v>0</v>
      </c>
      <c r="O552" s="316">
        <f t="shared" si="12"/>
        <v>27072</v>
      </c>
      <c r="P552" s="290"/>
      <c r="Q552" s="322"/>
    </row>
    <row r="553" spans="1:17" s="82" customFormat="1" ht="24.95" customHeight="1">
      <c r="A553" s="284"/>
      <c r="B553" s="285"/>
      <c r="C553" s="285"/>
      <c r="D553" s="304"/>
      <c r="E553" s="509" t="s">
        <v>1759</v>
      </c>
      <c r="F553" s="510"/>
      <c r="G553" s="510"/>
      <c r="H553" s="510"/>
      <c r="I553" s="510"/>
      <c r="J553" s="307"/>
      <c r="K553" s="307"/>
      <c r="L553" s="291"/>
      <c r="M553" s="315"/>
      <c r="N553" s="316"/>
      <c r="O553" s="316"/>
      <c r="P553" s="290"/>
      <c r="Q553" s="316"/>
    </row>
    <row r="554" spans="1:17" s="82" customFormat="1" ht="24.95" customHeight="1">
      <c r="A554" s="284"/>
      <c r="B554" s="285"/>
      <c r="C554" s="285"/>
      <c r="D554" s="304"/>
      <c r="E554" s="292"/>
      <c r="F554" s="293"/>
      <c r="G554" s="523" t="s">
        <v>903</v>
      </c>
      <c r="H554" s="523"/>
      <c r="I554" s="523"/>
      <c r="J554" s="307"/>
      <c r="K554" s="307"/>
      <c r="L554" s="291"/>
      <c r="M554" s="315"/>
      <c r="N554" s="316"/>
      <c r="O554" s="316"/>
      <c r="P554" s="290"/>
      <c r="Q554" s="316"/>
    </row>
    <row r="555" spans="1:17" s="82" customFormat="1" ht="24.95" customHeight="1">
      <c r="A555" s="284"/>
      <c r="B555" s="285"/>
      <c r="C555" s="285"/>
      <c r="D555" s="304"/>
      <c r="E555" s="526" t="s">
        <v>1760</v>
      </c>
      <c r="F555" s="518"/>
      <c r="G555" s="518"/>
      <c r="H555" s="518"/>
      <c r="I555" s="518"/>
      <c r="J555" s="518"/>
      <c r="K555" s="518"/>
      <c r="L555" s="291">
        <f>ROUNDDOWN(150000*5*0.012,0)</f>
        <v>9000</v>
      </c>
      <c r="M555" s="315">
        <f>+L555</f>
        <v>9000</v>
      </c>
      <c r="N555" s="316">
        <v>0</v>
      </c>
      <c r="O555" s="316">
        <f t="shared" si="12"/>
        <v>9000</v>
      </c>
      <c r="P555" s="290"/>
      <c r="Q555" s="316" t="s">
        <v>1761</v>
      </c>
    </row>
    <row r="556" spans="1:17" s="82" customFormat="1" ht="24.95" customHeight="1">
      <c r="A556" s="284"/>
      <c r="B556" s="285"/>
      <c r="C556" s="285"/>
      <c r="D556" s="304"/>
      <c r="E556" s="310"/>
      <c r="F556" s="307"/>
      <c r="G556" s="523" t="s">
        <v>1871</v>
      </c>
      <c r="H556" s="523"/>
      <c r="I556" s="523"/>
      <c r="J556" s="308"/>
      <c r="K556" s="308"/>
      <c r="L556" s="291"/>
      <c r="M556" s="315"/>
      <c r="N556" s="316"/>
      <c r="O556" s="316"/>
      <c r="P556" s="290"/>
      <c r="Q556" s="316"/>
    </row>
    <row r="557" spans="1:17" s="82" customFormat="1" ht="24.95" customHeight="1">
      <c r="A557" s="284"/>
      <c r="B557" s="285"/>
      <c r="C557" s="285"/>
      <c r="D557" s="304"/>
      <c r="E557" s="526" t="s">
        <v>1762</v>
      </c>
      <c r="F557" s="518"/>
      <c r="G557" s="518"/>
      <c r="H557" s="518"/>
      <c r="I557" s="518"/>
      <c r="J557" s="518"/>
      <c r="K557" s="518"/>
      <c r="L557" s="291">
        <f>ROUNDDOWN(150000*5*0.012*80%,0)</f>
        <v>7200</v>
      </c>
      <c r="M557" s="315">
        <f>+L557</f>
        <v>7200</v>
      </c>
      <c r="N557" s="316">
        <v>0</v>
      </c>
      <c r="O557" s="316">
        <f t="shared" si="12"/>
        <v>7200</v>
      </c>
      <c r="P557" s="290"/>
      <c r="Q557" s="316"/>
    </row>
    <row r="558" spans="1:17" s="82" customFormat="1" ht="24.95" customHeight="1">
      <c r="A558" s="284"/>
      <c r="B558" s="285"/>
      <c r="C558" s="285"/>
      <c r="D558" s="304"/>
      <c r="E558" s="509" t="s">
        <v>1043</v>
      </c>
      <c r="F558" s="510"/>
      <c r="G558" s="510"/>
      <c r="H558" s="510"/>
      <c r="I558" s="510"/>
      <c r="J558" s="511"/>
      <c r="K558" s="511"/>
      <c r="L558" s="291"/>
      <c r="M558" s="315"/>
      <c r="N558" s="316"/>
      <c r="O558" s="316"/>
      <c r="P558" s="290"/>
      <c r="Q558" s="316"/>
    </row>
    <row r="559" spans="1:17" s="82" customFormat="1" ht="24.95" customHeight="1">
      <c r="A559" s="284"/>
      <c r="B559" s="285"/>
      <c r="C559" s="285"/>
      <c r="D559" s="304"/>
      <c r="E559" s="292"/>
      <c r="F559" s="293"/>
      <c r="G559" s="523" t="s">
        <v>1869</v>
      </c>
      <c r="H559" s="523"/>
      <c r="I559" s="523"/>
      <c r="J559" s="296"/>
      <c r="K559" s="296"/>
      <c r="L559" s="291"/>
      <c r="M559" s="315"/>
      <c r="N559" s="316"/>
      <c r="O559" s="316"/>
      <c r="P559" s="290"/>
      <c r="Q559" s="316"/>
    </row>
    <row r="560" spans="1:17" s="82" customFormat="1" ht="24.95" customHeight="1">
      <c r="A560" s="284"/>
      <c r="B560" s="285"/>
      <c r="C560" s="285"/>
      <c r="D560" s="304"/>
      <c r="E560" s="509"/>
      <c r="F560" s="510"/>
      <c r="G560" s="510"/>
      <c r="H560" s="510"/>
      <c r="I560" s="510"/>
      <c r="J560" s="511" t="s">
        <v>1763</v>
      </c>
      <c r="K560" s="511"/>
      <c r="L560" s="291">
        <f>ROUNDDOWN(68000*9*0.012,0)</f>
        <v>7344</v>
      </c>
      <c r="M560" s="315">
        <f>+L560</f>
        <v>7344</v>
      </c>
      <c r="N560" s="316">
        <v>8160</v>
      </c>
      <c r="O560" s="316">
        <f t="shared" si="12"/>
        <v>-816</v>
      </c>
      <c r="P560" s="290"/>
      <c r="Q560" s="316" t="s">
        <v>1479</v>
      </c>
    </row>
    <row r="561" spans="1:17" s="82" customFormat="1" ht="24.95" customHeight="1">
      <c r="A561" s="284"/>
      <c r="B561" s="285"/>
      <c r="C561" s="285"/>
      <c r="D561" s="304"/>
      <c r="E561" s="292"/>
      <c r="F561" s="293"/>
      <c r="G561" s="523" t="s">
        <v>1872</v>
      </c>
      <c r="H561" s="523"/>
      <c r="I561" s="523"/>
      <c r="J561" s="523"/>
      <c r="K561" s="523"/>
      <c r="L561" s="291"/>
      <c r="M561" s="315"/>
      <c r="N561" s="316"/>
      <c r="O561" s="316"/>
      <c r="P561" s="290"/>
      <c r="Q561" s="316"/>
    </row>
    <row r="562" spans="1:17" s="82" customFormat="1" ht="24.95" customHeight="1">
      <c r="A562" s="284"/>
      <c r="B562" s="285"/>
      <c r="C562" s="285"/>
      <c r="D562" s="304"/>
      <c r="E562" s="516" t="s">
        <v>1764</v>
      </c>
      <c r="F562" s="511"/>
      <c r="G562" s="511"/>
      <c r="H562" s="511"/>
      <c r="I562" s="511"/>
      <c r="J562" s="511"/>
      <c r="K562" s="511"/>
      <c r="L562" s="291">
        <f>ROUNDDOWN(68000*1*0.012*80%,0)</f>
        <v>652</v>
      </c>
      <c r="M562" s="315">
        <f>+L562</f>
        <v>652</v>
      </c>
      <c r="N562" s="316">
        <v>0</v>
      </c>
      <c r="O562" s="316">
        <f t="shared" si="12"/>
        <v>652</v>
      </c>
      <c r="P562" s="290"/>
      <c r="Q562" s="316"/>
    </row>
    <row r="563" spans="1:17" s="82" customFormat="1" ht="24.95" customHeight="1">
      <c r="A563" s="284"/>
      <c r="B563" s="285"/>
      <c r="C563" s="285"/>
      <c r="D563" s="304"/>
      <c r="E563" s="509" t="s">
        <v>1044</v>
      </c>
      <c r="F563" s="510"/>
      <c r="G563" s="510"/>
      <c r="H563" s="510"/>
      <c r="I563" s="510"/>
      <c r="J563" s="511"/>
      <c r="K563" s="511"/>
      <c r="L563" s="291"/>
      <c r="M563" s="315"/>
      <c r="N563" s="316"/>
      <c r="O563" s="316"/>
      <c r="P563" s="290"/>
      <c r="Q563" s="316"/>
    </row>
    <row r="564" spans="1:17" s="82" customFormat="1" ht="24.95" customHeight="1">
      <c r="A564" s="284"/>
      <c r="B564" s="285"/>
      <c r="C564" s="285"/>
      <c r="D564" s="304"/>
      <c r="E564" s="509"/>
      <c r="F564" s="510"/>
      <c r="G564" s="510"/>
      <c r="H564" s="510"/>
      <c r="I564" s="510"/>
      <c r="J564" s="511" t="s">
        <v>1765</v>
      </c>
      <c r="K564" s="511"/>
      <c r="L564" s="291">
        <f>ROUNDDOWN(50000*10*0.012,0)</f>
        <v>6000</v>
      </c>
      <c r="M564" s="315">
        <f>+L564</f>
        <v>6000</v>
      </c>
      <c r="N564" s="316">
        <v>9000</v>
      </c>
      <c r="O564" s="316">
        <f t="shared" si="12"/>
        <v>-3000</v>
      </c>
      <c r="P564" s="290"/>
      <c r="Q564" s="316"/>
    </row>
    <row r="565" spans="1:17" s="82" customFormat="1" ht="24.95" customHeight="1">
      <c r="A565" s="284"/>
      <c r="B565" s="285"/>
      <c r="C565" s="285"/>
      <c r="D565" s="304"/>
      <c r="E565" s="509" t="s">
        <v>1766</v>
      </c>
      <c r="F565" s="510"/>
      <c r="G565" s="510"/>
      <c r="H565" s="510"/>
      <c r="I565" s="510"/>
      <c r="J565" s="296"/>
      <c r="K565" s="296"/>
      <c r="L565" s="291"/>
      <c r="M565" s="315"/>
      <c r="N565" s="316"/>
      <c r="O565" s="316"/>
      <c r="P565" s="290"/>
      <c r="Q565" s="316"/>
    </row>
    <row r="566" spans="1:17" s="82" customFormat="1" ht="24.95" customHeight="1">
      <c r="A566" s="284"/>
      <c r="B566" s="285"/>
      <c r="C566" s="285"/>
      <c r="D566" s="304"/>
      <c r="E566" s="292"/>
      <c r="F566" s="293"/>
      <c r="G566" s="523" t="s">
        <v>1869</v>
      </c>
      <c r="H566" s="523"/>
      <c r="I566" s="523"/>
      <c r="J566" s="296"/>
      <c r="K566" s="296"/>
      <c r="L566" s="291"/>
      <c r="M566" s="315"/>
      <c r="N566" s="316"/>
      <c r="O566" s="316"/>
      <c r="P566" s="290"/>
      <c r="Q566" s="316"/>
    </row>
    <row r="567" spans="1:17" s="82" customFormat="1" ht="24.95" customHeight="1">
      <c r="A567" s="284"/>
      <c r="B567" s="285"/>
      <c r="C567" s="285"/>
      <c r="D567" s="304"/>
      <c r="E567" s="292"/>
      <c r="F567" s="293"/>
      <c r="G567" s="293"/>
      <c r="H567" s="293"/>
      <c r="I567" s="293"/>
      <c r="J567" s="511" t="s">
        <v>1767</v>
      </c>
      <c r="K567" s="511"/>
      <c r="L567" s="291">
        <f>ROUNDDOWN(25000*9*0.012,0)</f>
        <v>2700</v>
      </c>
      <c r="M567" s="315">
        <f>+L567</f>
        <v>2700</v>
      </c>
      <c r="N567" s="316">
        <v>0</v>
      </c>
      <c r="O567" s="316">
        <f t="shared" si="12"/>
        <v>2700</v>
      </c>
      <c r="P567" s="290"/>
      <c r="Q567" s="316" t="s">
        <v>1761</v>
      </c>
    </row>
    <row r="568" spans="1:17" s="82" customFormat="1" ht="24.95" customHeight="1">
      <c r="A568" s="284"/>
      <c r="B568" s="285"/>
      <c r="C568" s="285"/>
      <c r="D568" s="304"/>
      <c r="E568" s="292"/>
      <c r="F568" s="293"/>
      <c r="G568" s="523" t="s">
        <v>1870</v>
      </c>
      <c r="H568" s="523"/>
      <c r="I568" s="523"/>
      <c r="J568" s="308"/>
      <c r="K568" s="308"/>
      <c r="L568" s="291"/>
      <c r="M568" s="315"/>
      <c r="N568" s="316"/>
      <c r="O568" s="316"/>
      <c r="P568" s="290"/>
      <c r="Q568" s="316"/>
    </row>
    <row r="569" spans="1:17" s="82" customFormat="1" ht="24.95" customHeight="1">
      <c r="A569" s="284"/>
      <c r="B569" s="285"/>
      <c r="C569" s="285"/>
      <c r="D569" s="304"/>
      <c r="E569" s="516" t="s">
        <v>1768</v>
      </c>
      <c r="F569" s="511"/>
      <c r="G569" s="511"/>
      <c r="H569" s="511"/>
      <c r="I569" s="511"/>
      <c r="J569" s="511"/>
      <c r="K569" s="511"/>
      <c r="L569" s="291">
        <f>ROUNDDOWN(25000*1*0.012*80%,0)</f>
        <v>240</v>
      </c>
      <c r="M569" s="315">
        <f>+L569</f>
        <v>240</v>
      </c>
      <c r="N569" s="316">
        <v>0</v>
      </c>
      <c r="O569" s="316">
        <f t="shared" si="12"/>
        <v>240</v>
      </c>
      <c r="P569" s="290"/>
      <c r="Q569" s="316"/>
    </row>
    <row r="570" spans="1:17" s="82" customFormat="1" ht="24.95" customHeight="1">
      <c r="A570" s="284"/>
      <c r="B570" s="285"/>
      <c r="C570" s="285"/>
      <c r="D570" s="304"/>
      <c r="E570" s="508" t="s">
        <v>1045</v>
      </c>
      <c r="F570" s="403"/>
      <c r="G570" s="403"/>
      <c r="H570" s="403"/>
      <c r="I570" s="403"/>
      <c r="J570" s="403"/>
      <c r="K570" s="287"/>
      <c r="L570" s="288">
        <f>+SUM(L571:L654)</f>
        <v>276929</v>
      </c>
      <c r="M570" s="288"/>
      <c r="N570" s="288"/>
      <c r="O570" s="288"/>
      <c r="P570" s="289"/>
      <c r="Q570" s="316"/>
    </row>
    <row r="571" spans="1:17" s="82" customFormat="1" ht="24.95" customHeight="1">
      <c r="A571" s="284"/>
      <c r="B571" s="285"/>
      <c r="C571" s="285"/>
      <c r="D571" s="304"/>
      <c r="E571" s="509" t="s">
        <v>1046</v>
      </c>
      <c r="F571" s="510"/>
      <c r="G571" s="510"/>
      <c r="H571" s="510"/>
      <c r="I571" s="510"/>
      <c r="J571" s="511"/>
      <c r="K571" s="511"/>
      <c r="L571" s="291"/>
      <c r="M571" s="315"/>
      <c r="N571" s="316"/>
      <c r="O571" s="316"/>
      <c r="P571" s="290"/>
      <c r="Q571" s="316"/>
    </row>
    <row r="572" spans="1:17" s="82" customFormat="1" ht="24.95" customHeight="1">
      <c r="A572" s="284"/>
      <c r="B572" s="285"/>
      <c r="C572" s="285"/>
      <c r="D572" s="304"/>
      <c r="E572" s="292"/>
      <c r="F572" s="293"/>
      <c r="G572" s="510" t="s">
        <v>1047</v>
      </c>
      <c r="H572" s="510"/>
      <c r="I572" s="510"/>
      <c r="J572" s="296"/>
      <c r="K572" s="296"/>
      <c r="L572" s="291"/>
      <c r="M572" s="315"/>
      <c r="N572" s="316"/>
      <c r="O572" s="316"/>
      <c r="P572" s="290"/>
      <c r="Q572" s="316"/>
    </row>
    <row r="573" spans="1:17" s="82" customFormat="1" ht="24.95" customHeight="1">
      <c r="A573" s="284"/>
      <c r="B573" s="285"/>
      <c r="C573" s="285"/>
      <c r="D573" s="304"/>
      <c r="E573" s="516" t="s">
        <v>1769</v>
      </c>
      <c r="F573" s="518"/>
      <c r="G573" s="518"/>
      <c r="H573" s="518"/>
      <c r="I573" s="518"/>
      <c r="J573" s="518"/>
      <c r="K573" s="518"/>
      <c r="L573" s="291">
        <f>ROUNDDOWN(((52000*5)+(56000*7))*12/1000,0)</f>
        <v>7824</v>
      </c>
      <c r="M573" s="315">
        <f>+L573</f>
        <v>7824</v>
      </c>
      <c r="N573" s="316">
        <v>13200</v>
      </c>
      <c r="O573" s="316">
        <f t="shared" ref="O573:O639" si="13">+M573-N573</f>
        <v>-5376</v>
      </c>
      <c r="P573" s="290"/>
      <c r="Q573" s="316" t="s">
        <v>1665</v>
      </c>
    </row>
    <row r="574" spans="1:17" s="82" customFormat="1" ht="24.95" customHeight="1">
      <c r="A574" s="284"/>
      <c r="B574" s="285"/>
      <c r="C574" s="285"/>
      <c r="D574" s="304"/>
      <c r="E574" s="300"/>
      <c r="F574" s="307"/>
      <c r="G574" s="523" t="s">
        <v>1873</v>
      </c>
      <c r="H574" s="523"/>
      <c r="I574" s="523"/>
      <c r="J574" s="308"/>
      <c r="K574" s="308"/>
      <c r="L574" s="291"/>
      <c r="M574" s="315"/>
      <c r="N574" s="316"/>
      <c r="O574" s="316"/>
      <c r="P574" s="290"/>
      <c r="Q574" s="316"/>
    </row>
    <row r="575" spans="1:17" s="82" customFormat="1" ht="24.95" customHeight="1">
      <c r="A575" s="284"/>
      <c r="B575" s="285"/>
      <c r="C575" s="285"/>
      <c r="D575" s="304"/>
      <c r="E575" s="300"/>
      <c r="F575" s="518" t="s">
        <v>1770</v>
      </c>
      <c r="G575" s="518"/>
      <c r="H575" s="518"/>
      <c r="I575" s="518"/>
      <c r="J575" s="518"/>
      <c r="K575" s="518"/>
      <c r="L575" s="291">
        <f>ROUNDDOWN(56000*5*12/1000*80%,0)</f>
        <v>2688</v>
      </c>
      <c r="M575" s="315">
        <f>+L575</f>
        <v>2688</v>
      </c>
      <c r="N575" s="316">
        <v>0</v>
      </c>
      <c r="O575" s="316">
        <f t="shared" si="13"/>
        <v>2688</v>
      </c>
      <c r="P575" s="290"/>
      <c r="Q575" s="316"/>
    </row>
    <row r="576" spans="1:17" s="82" customFormat="1" ht="24.95" customHeight="1">
      <c r="A576" s="284"/>
      <c r="B576" s="285"/>
      <c r="C576" s="285"/>
      <c r="D576" s="304"/>
      <c r="E576" s="300"/>
      <c r="F576" s="307"/>
      <c r="G576" s="523" t="s">
        <v>1874</v>
      </c>
      <c r="H576" s="523"/>
      <c r="I576" s="523"/>
      <c r="J576" s="308"/>
      <c r="K576" s="308"/>
      <c r="L576" s="291"/>
      <c r="M576" s="315"/>
      <c r="N576" s="316"/>
      <c r="O576" s="316"/>
      <c r="P576" s="290"/>
      <c r="Q576" s="316"/>
    </row>
    <row r="577" spans="1:17" s="82" customFormat="1" ht="24.95" customHeight="1">
      <c r="A577" s="284"/>
      <c r="B577" s="285"/>
      <c r="C577" s="285"/>
      <c r="D577" s="304"/>
      <c r="E577" s="516" t="s">
        <v>1771</v>
      </c>
      <c r="F577" s="518"/>
      <c r="G577" s="518"/>
      <c r="H577" s="518"/>
      <c r="I577" s="518"/>
      <c r="J577" s="518"/>
      <c r="K577" s="518"/>
      <c r="L577" s="291">
        <f>ROUNDDOWN(56000*3*12/1000*50%,0)</f>
        <v>1008</v>
      </c>
      <c r="M577" s="315">
        <f>+L577</f>
        <v>1008</v>
      </c>
      <c r="N577" s="316">
        <v>0</v>
      </c>
      <c r="O577" s="316">
        <f t="shared" si="13"/>
        <v>1008</v>
      </c>
      <c r="P577" s="290"/>
      <c r="Q577" s="316"/>
    </row>
    <row r="578" spans="1:17" s="82" customFormat="1" ht="24.95" customHeight="1">
      <c r="A578" s="284"/>
      <c r="B578" s="285"/>
      <c r="C578" s="285"/>
      <c r="D578" s="304"/>
      <c r="E578" s="509" t="s">
        <v>1048</v>
      </c>
      <c r="F578" s="510"/>
      <c r="G578" s="510"/>
      <c r="H578" s="510"/>
      <c r="I578" s="510"/>
      <c r="J578" s="511"/>
      <c r="K578" s="511"/>
      <c r="L578" s="291"/>
      <c r="M578" s="315"/>
      <c r="N578" s="316"/>
      <c r="O578" s="316"/>
      <c r="P578" s="290"/>
      <c r="Q578" s="316"/>
    </row>
    <row r="579" spans="1:17" s="82" customFormat="1" ht="24.95" customHeight="1">
      <c r="A579" s="284"/>
      <c r="B579" s="285"/>
      <c r="C579" s="285"/>
      <c r="D579" s="304"/>
      <c r="E579" s="292"/>
      <c r="F579" s="293"/>
      <c r="G579" s="510" t="s">
        <v>981</v>
      </c>
      <c r="H579" s="510"/>
      <c r="I579" s="510"/>
      <c r="J579" s="296"/>
      <c r="K579" s="296"/>
      <c r="L579" s="291"/>
      <c r="M579" s="315"/>
      <c r="N579" s="316"/>
      <c r="O579" s="316"/>
      <c r="P579" s="290"/>
      <c r="Q579" s="316"/>
    </row>
    <row r="580" spans="1:17" s="82" customFormat="1" ht="24.95" customHeight="1">
      <c r="A580" s="284"/>
      <c r="B580" s="285"/>
      <c r="C580" s="285"/>
      <c r="D580" s="304"/>
      <c r="E580" s="516" t="s">
        <v>1772</v>
      </c>
      <c r="F580" s="518"/>
      <c r="G580" s="518"/>
      <c r="H580" s="518"/>
      <c r="I580" s="518"/>
      <c r="J580" s="518"/>
      <c r="K580" s="518"/>
      <c r="L580" s="291">
        <f>ROUNDDOWN(((70000*21)+(58000*5))*12/1000,0)</f>
        <v>21120</v>
      </c>
      <c r="M580" s="315">
        <f>+L580</f>
        <v>21120</v>
      </c>
      <c r="N580" s="316">
        <v>32880</v>
      </c>
      <c r="O580" s="316">
        <f t="shared" si="13"/>
        <v>-11760</v>
      </c>
      <c r="P580" s="290"/>
      <c r="Q580" s="316" t="s">
        <v>1665</v>
      </c>
    </row>
    <row r="581" spans="1:17" s="82" customFormat="1" ht="24.95" customHeight="1">
      <c r="A581" s="284"/>
      <c r="B581" s="285"/>
      <c r="C581" s="285"/>
      <c r="D581" s="304"/>
      <c r="E581" s="300"/>
      <c r="F581" s="308" t="s">
        <v>1773</v>
      </c>
      <c r="G581" s="523" t="s">
        <v>1875</v>
      </c>
      <c r="H581" s="523"/>
      <c r="I581" s="523"/>
      <c r="J581" s="307"/>
      <c r="K581" s="307"/>
      <c r="L581" s="291"/>
      <c r="M581" s="315"/>
      <c r="N581" s="316"/>
      <c r="O581" s="316"/>
      <c r="P581" s="290"/>
      <c r="Q581" s="316"/>
    </row>
    <row r="582" spans="1:17" s="82" customFormat="1" ht="24.95" customHeight="1">
      <c r="A582" s="284"/>
      <c r="B582" s="285"/>
      <c r="C582" s="285"/>
      <c r="D582" s="304"/>
      <c r="E582" s="300"/>
      <c r="F582" s="518" t="s">
        <v>1774</v>
      </c>
      <c r="G582" s="518"/>
      <c r="H582" s="518"/>
      <c r="I582" s="518"/>
      <c r="J582" s="518"/>
      <c r="K582" s="518"/>
      <c r="L582" s="291">
        <f>ROUNDDOWN(70000*10*0.012*80%,0)</f>
        <v>6720</v>
      </c>
      <c r="M582" s="315">
        <f>+L582</f>
        <v>6720</v>
      </c>
      <c r="N582" s="316">
        <v>0</v>
      </c>
      <c r="O582" s="316">
        <f t="shared" si="13"/>
        <v>6720</v>
      </c>
      <c r="P582" s="290"/>
      <c r="Q582" s="316"/>
    </row>
    <row r="583" spans="1:17" s="82" customFormat="1" ht="24.95" customHeight="1">
      <c r="A583" s="284"/>
      <c r="B583" s="285"/>
      <c r="C583" s="285"/>
      <c r="D583" s="304"/>
      <c r="E583" s="300"/>
      <c r="F583" s="307"/>
      <c r="G583" s="510" t="s">
        <v>1876</v>
      </c>
      <c r="H583" s="510"/>
      <c r="I583" s="510"/>
      <c r="J583" s="307"/>
      <c r="K583" s="307"/>
      <c r="L583" s="291"/>
      <c r="M583" s="315"/>
      <c r="N583" s="316"/>
      <c r="O583" s="316"/>
      <c r="P583" s="290"/>
      <c r="Q583" s="316"/>
    </row>
    <row r="584" spans="1:17" s="82" customFormat="1" ht="24.95" customHeight="1">
      <c r="A584" s="284"/>
      <c r="B584" s="285"/>
      <c r="C584" s="285"/>
      <c r="D584" s="304"/>
      <c r="E584" s="300"/>
      <c r="F584" s="518" t="s">
        <v>1775</v>
      </c>
      <c r="G584" s="518"/>
      <c r="H584" s="518"/>
      <c r="I584" s="518"/>
      <c r="J584" s="518"/>
      <c r="K584" s="518"/>
      <c r="L584" s="291">
        <f>ROUNDDOWN(70000*4*0.012*50%,0)</f>
        <v>1680</v>
      </c>
      <c r="M584" s="315">
        <f>+L584</f>
        <v>1680</v>
      </c>
      <c r="N584" s="316">
        <v>0</v>
      </c>
      <c r="O584" s="316">
        <f t="shared" si="13"/>
        <v>1680</v>
      </c>
      <c r="P584" s="290"/>
      <c r="Q584" s="316"/>
    </row>
    <row r="585" spans="1:17" s="82" customFormat="1" ht="24.95" customHeight="1">
      <c r="A585" s="284"/>
      <c r="B585" s="285"/>
      <c r="C585" s="285"/>
      <c r="D585" s="304"/>
      <c r="E585" s="292"/>
      <c r="F585" s="293"/>
      <c r="G585" s="510" t="s">
        <v>1877</v>
      </c>
      <c r="H585" s="510"/>
      <c r="I585" s="510"/>
      <c r="J585" s="296"/>
      <c r="K585" s="296"/>
      <c r="L585" s="291"/>
      <c r="M585" s="315"/>
      <c r="N585" s="316"/>
      <c r="O585" s="316"/>
      <c r="P585" s="290"/>
      <c r="Q585" s="316"/>
    </row>
    <row r="586" spans="1:17" s="82" customFormat="1" ht="24.95" customHeight="1">
      <c r="A586" s="284"/>
      <c r="B586" s="285"/>
      <c r="C586" s="285"/>
      <c r="D586" s="304"/>
      <c r="E586" s="516" t="s">
        <v>1776</v>
      </c>
      <c r="F586" s="518"/>
      <c r="G586" s="518"/>
      <c r="H586" s="518"/>
      <c r="I586" s="518"/>
      <c r="J586" s="518"/>
      <c r="K586" s="518"/>
      <c r="L586" s="291">
        <f>ROUNDDOWN(((70000*33)+(58000*5))*12/1000,0)</f>
        <v>31200</v>
      </c>
      <c r="M586" s="315">
        <f>+L586</f>
        <v>31200</v>
      </c>
      <c r="N586" s="316">
        <v>49680</v>
      </c>
      <c r="O586" s="316">
        <f t="shared" si="13"/>
        <v>-18480</v>
      </c>
      <c r="P586" s="290"/>
      <c r="Q586" s="316" t="s">
        <v>1665</v>
      </c>
    </row>
    <row r="587" spans="1:17" s="82" customFormat="1" ht="24.95" customHeight="1">
      <c r="A587" s="284"/>
      <c r="B587" s="285"/>
      <c r="C587" s="285"/>
      <c r="D587" s="304"/>
      <c r="E587" s="300"/>
      <c r="F587" s="308"/>
      <c r="G587" s="523" t="s">
        <v>1878</v>
      </c>
      <c r="H587" s="523"/>
      <c r="I587" s="523"/>
      <c r="J587" s="308"/>
      <c r="K587" s="308"/>
      <c r="L587" s="291"/>
      <c r="M587" s="315"/>
      <c r="N587" s="316"/>
      <c r="O587" s="316"/>
      <c r="P587" s="290"/>
      <c r="Q587" s="316"/>
    </row>
    <row r="588" spans="1:17" s="82" customFormat="1" ht="24.95" customHeight="1">
      <c r="A588" s="284"/>
      <c r="B588" s="285"/>
      <c r="C588" s="285"/>
      <c r="D588" s="304"/>
      <c r="E588" s="300"/>
      <c r="F588" s="307"/>
      <c r="G588" s="307"/>
      <c r="H588" s="307"/>
      <c r="I588" s="518" t="s">
        <v>1777</v>
      </c>
      <c r="J588" s="518"/>
      <c r="K588" s="518"/>
      <c r="L588" s="291">
        <f>ROUNDDOWN(70000*20*0.012*80%,0)</f>
        <v>13440</v>
      </c>
      <c r="M588" s="315">
        <f>+L588</f>
        <v>13440</v>
      </c>
      <c r="N588" s="316">
        <v>0</v>
      </c>
      <c r="O588" s="316">
        <f t="shared" si="13"/>
        <v>13440</v>
      </c>
      <c r="P588" s="290"/>
      <c r="Q588" s="316"/>
    </row>
    <row r="589" spans="1:17" s="82" customFormat="1" ht="24.95" customHeight="1">
      <c r="A589" s="284"/>
      <c r="B589" s="285"/>
      <c r="C589" s="285"/>
      <c r="D589" s="304"/>
      <c r="E589" s="300"/>
      <c r="F589" s="307"/>
      <c r="G589" s="523" t="s">
        <v>1879</v>
      </c>
      <c r="H589" s="523"/>
      <c r="I589" s="523"/>
      <c r="J589" s="308"/>
      <c r="K589" s="308"/>
      <c r="L589" s="291"/>
      <c r="M589" s="315"/>
      <c r="N589" s="316"/>
      <c r="O589" s="316"/>
      <c r="P589" s="290"/>
      <c r="Q589" s="316"/>
    </row>
    <row r="590" spans="1:17" s="82" customFormat="1" ht="24.95" customHeight="1">
      <c r="A590" s="284"/>
      <c r="B590" s="285"/>
      <c r="C590" s="285"/>
      <c r="D590" s="304"/>
      <c r="E590" s="300"/>
      <c r="F590" s="307"/>
      <c r="G590" s="307"/>
      <c r="H590" s="307"/>
      <c r="I590" s="518" t="s">
        <v>1778</v>
      </c>
      <c r="J590" s="518"/>
      <c r="K590" s="518"/>
      <c r="L590" s="291">
        <f>ROUNDDOWN(70000*2*0.012*50%,0)</f>
        <v>840</v>
      </c>
      <c r="M590" s="315">
        <f>+L590</f>
        <v>840</v>
      </c>
      <c r="N590" s="316">
        <v>0</v>
      </c>
      <c r="O590" s="316">
        <f t="shared" si="13"/>
        <v>840</v>
      </c>
      <c r="P590" s="290"/>
      <c r="Q590" s="316"/>
    </row>
    <row r="591" spans="1:17" s="82" customFormat="1" ht="24.95" customHeight="1">
      <c r="A591" s="284"/>
      <c r="B591" s="285"/>
      <c r="C591" s="285"/>
      <c r="D591" s="304"/>
      <c r="E591" s="292"/>
      <c r="F591" s="293"/>
      <c r="G591" s="510" t="s">
        <v>1779</v>
      </c>
      <c r="H591" s="510"/>
      <c r="I591" s="510"/>
      <c r="J591" s="296"/>
      <c r="K591" s="296"/>
      <c r="L591" s="291"/>
      <c r="M591" s="315"/>
      <c r="N591" s="316"/>
      <c r="O591" s="316"/>
      <c r="P591" s="290"/>
      <c r="Q591" s="316"/>
    </row>
    <row r="592" spans="1:17" s="82" customFormat="1" ht="24.95" customHeight="1">
      <c r="A592" s="284"/>
      <c r="B592" s="285"/>
      <c r="C592" s="285"/>
      <c r="D592" s="304"/>
      <c r="E592" s="516" t="s">
        <v>1780</v>
      </c>
      <c r="F592" s="518"/>
      <c r="G592" s="518"/>
      <c r="H592" s="518"/>
      <c r="I592" s="518"/>
      <c r="J592" s="518"/>
      <c r="K592" s="518"/>
      <c r="L592" s="291">
        <f>ROUNDDOWN(((63000*7)+(54000*4)+(45000*2))*12/1000,0)</f>
        <v>8964</v>
      </c>
      <c r="M592" s="315">
        <f>+L592</f>
        <v>8964</v>
      </c>
      <c r="N592" s="316">
        <v>17280</v>
      </c>
      <c r="O592" s="316">
        <f t="shared" si="13"/>
        <v>-8316</v>
      </c>
      <c r="P592" s="290"/>
      <c r="Q592" s="316" t="s">
        <v>1665</v>
      </c>
    </row>
    <row r="593" spans="1:17" s="82" customFormat="1" ht="24.95" customHeight="1">
      <c r="A593" s="284"/>
      <c r="B593" s="285"/>
      <c r="C593" s="285"/>
      <c r="D593" s="304"/>
      <c r="E593" s="300"/>
      <c r="F593" s="307"/>
      <c r="G593" s="523" t="s">
        <v>1880</v>
      </c>
      <c r="H593" s="523"/>
      <c r="I593" s="523"/>
      <c r="J593" s="308"/>
      <c r="K593" s="307"/>
      <c r="L593" s="291"/>
      <c r="M593" s="315"/>
      <c r="N593" s="316"/>
      <c r="O593" s="316"/>
      <c r="P593" s="290"/>
      <c r="Q593" s="316"/>
    </row>
    <row r="594" spans="1:17" s="82" customFormat="1" ht="24.95" customHeight="1">
      <c r="A594" s="284"/>
      <c r="B594" s="285"/>
      <c r="C594" s="285"/>
      <c r="D594" s="304"/>
      <c r="E594" s="516" t="s">
        <v>1781</v>
      </c>
      <c r="F594" s="518"/>
      <c r="G594" s="518"/>
      <c r="H594" s="518"/>
      <c r="I594" s="518"/>
      <c r="J594" s="518"/>
      <c r="K594" s="518"/>
      <c r="L594" s="291">
        <f>ROUNDDOWN(((63000*8)+(54000*1)+(45000*3))*12/1000*80%,0)</f>
        <v>6652</v>
      </c>
      <c r="M594" s="315">
        <f>+L594</f>
        <v>6652</v>
      </c>
      <c r="N594" s="316">
        <v>0</v>
      </c>
      <c r="O594" s="316">
        <f t="shared" si="13"/>
        <v>6652</v>
      </c>
      <c r="P594" s="290"/>
      <c r="Q594" s="316"/>
    </row>
    <row r="595" spans="1:17" s="82" customFormat="1" ht="24.95" customHeight="1">
      <c r="A595" s="284"/>
      <c r="B595" s="285"/>
      <c r="C595" s="285"/>
      <c r="D595" s="304"/>
      <c r="E595" s="509" t="s">
        <v>1049</v>
      </c>
      <c r="F595" s="510"/>
      <c r="G595" s="510"/>
      <c r="H595" s="510"/>
      <c r="I595" s="510"/>
      <c r="J595" s="511"/>
      <c r="K595" s="511"/>
      <c r="L595" s="291"/>
      <c r="M595" s="315"/>
      <c r="N595" s="316"/>
      <c r="O595" s="316"/>
      <c r="P595" s="290"/>
      <c r="Q595" s="316"/>
    </row>
    <row r="596" spans="1:17" s="82" customFormat="1" ht="24.95" customHeight="1">
      <c r="A596" s="284"/>
      <c r="B596" s="285"/>
      <c r="C596" s="285"/>
      <c r="D596" s="304"/>
      <c r="E596" s="292"/>
      <c r="F596" s="293"/>
      <c r="G596" s="523" t="s">
        <v>1881</v>
      </c>
      <c r="H596" s="523"/>
      <c r="I596" s="523"/>
      <c r="J596" s="296"/>
      <c r="K596" s="296"/>
      <c r="L596" s="291"/>
      <c r="M596" s="315"/>
      <c r="N596" s="316"/>
      <c r="O596" s="316"/>
      <c r="P596" s="290"/>
      <c r="Q596" s="316"/>
    </row>
    <row r="597" spans="1:17" s="82" customFormat="1" ht="24.95" customHeight="1">
      <c r="A597" s="284"/>
      <c r="B597" s="285"/>
      <c r="C597" s="285"/>
      <c r="D597" s="304"/>
      <c r="E597" s="509"/>
      <c r="F597" s="510"/>
      <c r="G597" s="510"/>
      <c r="H597" s="510"/>
      <c r="I597" s="510"/>
      <c r="J597" s="511" t="s">
        <v>1782</v>
      </c>
      <c r="K597" s="511"/>
      <c r="L597" s="291">
        <f>ROUNDDOWN(40000*11*0.012,0)</f>
        <v>5280</v>
      </c>
      <c r="M597" s="315">
        <f>+L597</f>
        <v>5280</v>
      </c>
      <c r="N597" s="316">
        <v>14400</v>
      </c>
      <c r="O597" s="316">
        <f t="shared" si="13"/>
        <v>-9120</v>
      </c>
      <c r="P597" s="290"/>
      <c r="Q597" s="316" t="s">
        <v>1479</v>
      </c>
    </row>
    <row r="598" spans="1:17" s="82" customFormat="1" ht="24.95" customHeight="1">
      <c r="A598" s="284"/>
      <c r="B598" s="285"/>
      <c r="C598" s="285"/>
      <c r="D598" s="304"/>
      <c r="E598" s="292"/>
      <c r="F598" s="293"/>
      <c r="G598" s="523" t="s">
        <v>1882</v>
      </c>
      <c r="H598" s="523"/>
      <c r="I598" s="523"/>
      <c r="J598" s="308"/>
      <c r="K598" s="296"/>
      <c r="L598" s="291"/>
      <c r="M598" s="315"/>
      <c r="N598" s="316"/>
      <c r="O598" s="316"/>
      <c r="P598" s="290"/>
      <c r="Q598" s="316"/>
    </row>
    <row r="599" spans="1:17" s="82" customFormat="1" ht="24.95" customHeight="1">
      <c r="A599" s="284"/>
      <c r="B599" s="285"/>
      <c r="C599" s="285"/>
      <c r="D599" s="304"/>
      <c r="E599" s="292"/>
      <c r="F599" s="293"/>
      <c r="G599" s="511" t="s">
        <v>1783</v>
      </c>
      <c r="H599" s="511"/>
      <c r="I599" s="511"/>
      <c r="J599" s="511"/>
      <c r="K599" s="511"/>
      <c r="L599" s="291">
        <f>ROUNDDOWN(40000*19*0.012*80%,0)</f>
        <v>7296</v>
      </c>
      <c r="M599" s="315">
        <f>+L599</f>
        <v>7296</v>
      </c>
      <c r="N599" s="316">
        <v>0</v>
      </c>
      <c r="O599" s="316">
        <f t="shared" si="13"/>
        <v>7296</v>
      </c>
      <c r="P599" s="290"/>
      <c r="Q599" s="316"/>
    </row>
    <row r="600" spans="1:17" s="82" customFormat="1" ht="24.95" customHeight="1">
      <c r="A600" s="284"/>
      <c r="B600" s="285"/>
      <c r="C600" s="285"/>
      <c r="D600" s="304"/>
      <c r="E600" s="509" t="s">
        <v>1050</v>
      </c>
      <c r="F600" s="510"/>
      <c r="G600" s="510"/>
      <c r="H600" s="510"/>
      <c r="I600" s="510"/>
      <c r="J600" s="511"/>
      <c r="K600" s="511"/>
      <c r="L600" s="291"/>
      <c r="M600" s="315"/>
      <c r="N600" s="316"/>
      <c r="O600" s="316"/>
      <c r="P600" s="290"/>
      <c r="Q600" s="316"/>
    </row>
    <row r="601" spans="1:17" s="82" customFormat="1" ht="24.95" customHeight="1">
      <c r="A601" s="284"/>
      <c r="B601" s="285"/>
      <c r="C601" s="285"/>
      <c r="D601" s="304"/>
      <c r="E601" s="292"/>
      <c r="F601" s="293"/>
      <c r="G601" s="510" t="s">
        <v>1051</v>
      </c>
      <c r="H601" s="510"/>
      <c r="I601" s="510"/>
      <c r="J601" s="296"/>
      <c r="K601" s="296"/>
      <c r="L601" s="291"/>
      <c r="M601" s="315"/>
      <c r="N601" s="316"/>
      <c r="O601" s="316"/>
      <c r="P601" s="290"/>
      <c r="Q601" s="316"/>
    </row>
    <row r="602" spans="1:17" s="82" customFormat="1" ht="24.95" customHeight="1">
      <c r="A602" s="284"/>
      <c r="B602" s="285"/>
      <c r="C602" s="285"/>
      <c r="D602" s="304"/>
      <c r="E602" s="516" t="s">
        <v>1784</v>
      </c>
      <c r="F602" s="518"/>
      <c r="G602" s="518"/>
      <c r="H602" s="518"/>
      <c r="I602" s="518"/>
      <c r="J602" s="518"/>
      <c r="K602" s="518"/>
      <c r="L602" s="291">
        <f>ROUNDDOWN(((21000*4)+(24000*3)+(32000*17))*12/1000,0)</f>
        <v>8400</v>
      </c>
      <c r="M602" s="315">
        <f>+L602</f>
        <v>8400</v>
      </c>
      <c r="N602" s="316">
        <v>12300</v>
      </c>
      <c r="O602" s="316">
        <f t="shared" si="13"/>
        <v>-3900</v>
      </c>
      <c r="P602" s="290"/>
      <c r="Q602" s="316" t="s">
        <v>1479</v>
      </c>
    </row>
    <row r="603" spans="1:17" s="82" customFormat="1" ht="24.95" customHeight="1">
      <c r="A603" s="284"/>
      <c r="B603" s="285"/>
      <c r="C603" s="285"/>
      <c r="D603" s="304"/>
      <c r="E603" s="294"/>
      <c r="F603" s="295"/>
      <c r="G603" s="510" t="s">
        <v>1883</v>
      </c>
      <c r="H603" s="510"/>
      <c r="I603" s="510"/>
      <c r="J603" s="308"/>
      <c r="K603" s="308"/>
      <c r="L603" s="291"/>
      <c r="M603" s="315"/>
      <c r="N603" s="316"/>
      <c r="O603" s="316"/>
      <c r="P603" s="290"/>
      <c r="Q603" s="316"/>
    </row>
    <row r="604" spans="1:17" s="82" customFormat="1" ht="24.95" customHeight="1">
      <c r="A604" s="284"/>
      <c r="B604" s="285"/>
      <c r="C604" s="285"/>
      <c r="D604" s="304"/>
      <c r="E604" s="516" t="s">
        <v>1785</v>
      </c>
      <c r="F604" s="518"/>
      <c r="G604" s="518"/>
      <c r="H604" s="518"/>
      <c r="I604" s="518"/>
      <c r="J604" s="518"/>
      <c r="K604" s="518"/>
      <c r="L604" s="291">
        <f>ROUNDDOWN(((21000*1)+(24000*2)+(32000*8))*12/1000*80%,0)</f>
        <v>3120</v>
      </c>
      <c r="M604" s="315">
        <f>+L604</f>
        <v>3120</v>
      </c>
      <c r="N604" s="316">
        <v>0</v>
      </c>
      <c r="O604" s="316">
        <f t="shared" si="13"/>
        <v>3120</v>
      </c>
      <c r="P604" s="290"/>
      <c r="Q604" s="316"/>
    </row>
    <row r="605" spans="1:17" s="82" customFormat="1" ht="24.95" customHeight="1">
      <c r="A605" s="284"/>
      <c r="B605" s="285"/>
      <c r="C605" s="285"/>
      <c r="D605" s="304"/>
      <c r="E605" s="292"/>
      <c r="F605" s="293"/>
      <c r="G605" s="510" t="s">
        <v>1052</v>
      </c>
      <c r="H605" s="510"/>
      <c r="I605" s="510"/>
      <c r="J605" s="296"/>
      <c r="K605" s="296"/>
      <c r="L605" s="291"/>
      <c r="M605" s="315"/>
      <c r="N605" s="316"/>
      <c r="O605" s="316"/>
      <c r="P605" s="290"/>
      <c r="Q605" s="316"/>
    </row>
    <row r="606" spans="1:17" s="82" customFormat="1" ht="24.95" customHeight="1">
      <c r="A606" s="284"/>
      <c r="B606" s="285"/>
      <c r="C606" s="285"/>
      <c r="D606" s="304"/>
      <c r="E606" s="516" t="s">
        <v>1786</v>
      </c>
      <c r="F606" s="518"/>
      <c r="G606" s="518"/>
      <c r="H606" s="518"/>
      <c r="I606" s="518"/>
      <c r="J606" s="518"/>
      <c r="K606" s="518"/>
      <c r="L606" s="291">
        <f>ROUNDDOWN(((28000*3)+(32000*3)+(43000*8))*12/1000,0)</f>
        <v>6288</v>
      </c>
      <c r="M606" s="315">
        <f>+L606</f>
        <v>6288</v>
      </c>
      <c r="N606" s="316">
        <v>11340</v>
      </c>
      <c r="O606" s="316">
        <f t="shared" si="13"/>
        <v>-5052</v>
      </c>
      <c r="P606" s="290"/>
      <c r="Q606" s="316" t="s">
        <v>1479</v>
      </c>
    </row>
    <row r="607" spans="1:17" s="82" customFormat="1" ht="24.95" customHeight="1">
      <c r="A607" s="284"/>
      <c r="B607" s="285"/>
      <c r="C607" s="285"/>
      <c r="D607" s="304"/>
      <c r="E607" s="300"/>
      <c r="F607" s="307"/>
      <c r="G607" s="523" t="s">
        <v>1884</v>
      </c>
      <c r="H607" s="523"/>
      <c r="I607" s="523"/>
      <c r="J607" s="308"/>
      <c r="K607" s="308"/>
      <c r="L607" s="291"/>
      <c r="M607" s="315"/>
      <c r="N607" s="316"/>
      <c r="O607" s="316"/>
      <c r="P607" s="290"/>
      <c r="Q607" s="316"/>
    </row>
    <row r="608" spans="1:17" s="82" customFormat="1" ht="24.95" customHeight="1">
      <c r="A608" s="284"/>
      <c r="B608" s="285"/>
      <c r="C608" s="285"/>
      <c r="D608" s="304"/>
      <c r="E608" s="516" t="s">
        <v>1787</v>
      </c>
      <c r="F608" s="518"/>
      <c r="G608" s="518"/>
      <c r="H608" s="518"/>
      <c r="I608" s="518"/>
      <c r="J608" s="518"/>
      <c r="K608" s="518"/>
      <c r="L608" s="291">
        <f>ROUNDDOWN(((28000*2)+(32000*2)+(43000*7))*12/1000*80%,0)</f>
        <v>4041</v>
      </c>
      <c r="M608" s="315">
        <f>+L608</f>
        <v>4041</v>
      </c>
      <c r="N608" s="316">
        <v>0</v>
      </c>
      <c r="O608" s="316">
        <f t="shared" si="13"/>
        <v>4041</v>
      </c>
      <c r="P608" s="290"/>
      <c r="Q608" s="316"/>
    </row>
    <row r="609" spans="1:17" s="82" customFormat="1" ht="24.95" customHeight="1">
      <c r="A609" s="284"/>
      <c r="B609" s="285"/>
      <c r="C609" s="285"/>
      <c r="D609" s="304"/>
      <c r="E609" s="509" t="s">
        <v>1053</v>
      </c>
      <c r="F609" s="510"/>
      <c r="G609" s="510"/>
      <c r="H609" s="510"/>
      <c r="I609" s="510"/>
      <c r="J609" s="511"/>
      <c r="K609" s="511"/>
      <c r="L609" s="291"/>
      <c r="M609" s="315"/>
      <c r="N609" s="316"/>
      <c r="O609" s="316"/>
      <c r="P609" s="290"/>
      <c r="Q609" s="316"/>
    </row>
    <row r="610" spans="1:17" s="82" customFormat="1" ht="24.95" customHeight="1">
      <c r="A610" s="284"/>
      <c r="B610" s="285"/>
      <c r="C610" s="285"/>
      <c r="D610" s="304"/>
      <c r="E610" s="292"/>
      <c r="F610" s="293"/>
      <c r="G610" s="510" t="s">
        <v>1011</v>
      </c>
      <c r="H610" s="510"/>
      <c r="I610" s="510"/>
      <c r="J610" s="296"/>
      <c r="K610" s="296"/>
      <c r="L610" s="291"/>
      <c r="M610" s="315"/>
      <c r="N610" s="316"/>
      <c r="O610" s="316"/>
      <c r="P610" s="290"/>
      <c r="Q610" s="316"/>
    </row>
    <row r="611" spans="1:17" s="82" customFormat="1" ht="24.95" customHeight="1">
      <c r="A611" s="284"/>
      <c r="B611" s="285"/>
      <c r="C611" s="285"/>
      <c r="D611" s="304"/>
      <c r="E611" s="516" t="s">
        <v>1788</v>
      </c>
      <c r="F611" s="518"/>
      <c r="G611" s="518"/>
      <c r="H611" s="518"/>
      <c r="I611" s="518"/>
      <c r="J611" s="518"/>
      <c r="K611" s="518"/>
      <c r="L611" s="291">
        <f>ROUNDDOWN(23000*10*2*0.012,0)</f>
        <v>5520</v>
      </c>
      <c r="M611" s="315">
        <f>+L611</f>
        <v>5520</v>
      </c>
      <c r="N611" s="316">
        <v>13800</v>
      </c>
      <c r="O611" s="316">
        <f t="shared" si="13"/>
        <v>-8280</v>
      </c>
      <c r="P611" s="290"/>
      <c r="Q611" s="316" t="s">
        <v>1479</v>
      </c>
    </row>
    <row r="612" spans="1:17" s="82" customFormat="1" ht="24.95" customHeight="1">
      <c r="A612" s="284"/>
      <c r="B612" s="285"/>
      <c r="C612" s="285"/>
      <c r="D612" s="304"/>
      <c r="E612" s="300"/>
      <c r="F612" s="307"/>
      <c r="G612" s="523" t="s">
        <v>1866</v>
      </c>
      <c r="H612" s="523"/>
      <c r="I612" s="523"/>
      <c r="J612" s="308"/>
      <c r="K612" s="308"/>
      <c r="L612" s="291"/>
      <c r="M612" s="315"/>
      <c r="N612" s="316"/>
      <c r="O612" s="316"/>
      <c r="P612" s="290"/>
      <c r="Q612" s="316"/>
    </row>
    <row r="613" spans="1:17" s="82" customFormat="1" ht="24.95" customHeight="1">
      <c r="A613" s="284"/>
      <c r="B613" s="285"/>
      <c r="C613" s="285"/>
      <c r="D613" s="304"/>
      <c r="E613" s="300"/>
      <c r="F613" s="518" t="s">
        <v>1789</v>
      </c>
      <c r="G613" s="518"/>
      <c r="H613" s="518"/>
      <c r="I613" s="518"/>
      <c r="J613" s="518"/>
      <c r="K613" s="518"/>
      <c r="L613" s="291">
        <f>ROUNDDOWN(23000*30*0.012*80%,0)</f>
        <v>6624</v>
      </c>
      <c r="M613" s="315">
        <f>+L613</f>
        <v>6624</v>
      </c>
      <c r="N613" s="316">
        <v>0</v>
      </c>
      <c r="O613" s="316">
        <f t="shared" si="13"/>
        <v>6624</v>
      </c>
      <c r="P613" s="290"/>
      <c r="Q613" s="316"/>
    </row>
    <row r="614" spans="1:17" s="82" customFormat="1" ht="24.95" customHeight="1">
      <c r="A614" s="284"/>
      <c r="B614" s="285"/>
      <c r="C614" s="285"/>
      <c r="D614" s="304"/>
      <c r="E614" s="509" t="s">
        <v>1048</v>
      </c>
      <c r="F614" s="510"/>
      <c r="G614" s="510"/>
      <c r="H614" s="510"/>
      <c r="I614" s="510"/>
      <c r="J614" s="307"/>
      <c r="K614" s="307"/>
      <c r="L614" s="291"/>
      <c r="M614" s="315"/>
      <c r="N614" s="316"/>
      <c r="O614" s="316"/>
      <c r="P614" s="290"/>
      <c r="Q614" s="316"/>
    </row>
    <row r="615" spans="1:17" s="82" customFormat="1" ht="24.95" customHeight="1">
      <c r="A615" s="284"/>
      <c r="B615" s="285"/>
      <c r="C615" s="285"/>
      <c r="D615" s="304"/>
      <c r="E615" s="292"/>
      <c r="F615" s="293"/>
      <c r="G615" s="510" t="s">
        <v>1054</v>
      </c>
      <c r="H615" s="510"/>
      <c r="I615" s="510"/>
      <c r="J615" s="296"/>
      <c r="K615" s="296"/>
      <c r="L615" s="291"/>
      <c r="M615" s="315"/>
      <c r="N615" s="316"/>
      <c r="O615" s="316"/>
      <c r="P615" s="290"/>
      <c r="Q615" s="316"/>
    </row>
    <row r="616" spans="1:17" s="82" customFormat="1" ht="24.95" customHeight="1">
      <c r="A616" s="284"/>
      <c r="B616" s="285"/>
      <c r="C616" s="285"/>
      <c r="D616" s="304"/>
      <c r="E616" s="516" t="s">
        <v>1055</v>
      </c>
      <c r="F616" s="518"/>
      <c r="G616" s="518"/>
      <c r="H616" s="518"/>
      <c r="I616" s="518"/>
      <c r="J616" s="518"/>
      <c r="K616" s="518"/>
      <c r="L616" s="291">
        <f>ROUNDDOWN(24000*15*2/1000,0)</f>
        <v>720</v>
      </c>
      <c r="M616" s="315">
        <f>+L616</f>
        <v>720</v>
      </c>
      <c r="N616" s="316">
        <v>720</v>
      </c>
      <c r="O616" s="316">
        <f t="shared" si="13"/>
        <v>0</v>
      </c>
      <c r="P616" s="290"/>
      <c r="Q616" s="316"/>
    </row>
    <row r="617" spans="1:17" s="82" customFormat="1" ht="24.95" customHeight="1">
      <c r="A617" s="284"/>
      <c r="B617" s="285"/>
      <c r="C617" s="285"/>
      <c r="D617" s="304"/>
      <c r="E617" s="292"/>
      <c r="F617" s="293"/>
      <c r="G617" s="510" t="s">
        <v>1056</v>
      </c>
      <c r="H617" s="510"/>
      <c r="I617" s="510"/>
      <c r="J617" s="296"/>
      <c r="K617" s="296"/>
      <c r="L617" s="291"/>
      <c r="M617" s="315"/>
      <c r="N617" s="316"/>
      <c r="O617" s="316"/>
      <c r="P617" s="290"/>
      <c r="Q617" s="316"/>
    </row>
    <row r="618" spans="1:17" s="82" customFormat="1" ht="24.95" customHeight="1">
      <c r="A618" s="284"/>
      <c r="B618" s="285"/>
      <c r="C618" s="285"/>
      <c r="D618" s="304"/>
      <c r="E618" s="516" t="s">
        <v>1057</v>
      </c>
      <c r="F618" s="518"/>
      <c r="G618" s="518"/>
      <c r="H618" s="518"/>
      <c r="I618" s="518"/>
      <c r="J618" s="518"/>
      <c r="K618" s="518"/>
      <c r="L618" s="291">
        <f>ROUNDDOWN(20000*15*0.002,0)</f>
        <v>600</v>
      </c>
      <c r="M618" s="315">
        <f>+L618</f>
        <v>600</v>
      </c>
      <c r="N618" s="316">
        <v>600</v>
      </c>
      <c r="O618" s="316">
        <f t="shared" si="13"/>
        <v>0</v>
      </c>
      <c r="P618" s="290"/>
      <c r="Q618" s="316"/>
    </row>
    <row r="619" spans="1:17" s="82" customFormat="1" ht="24.95" customHeight="1">
      <c r="A619" s="284"/>
      <c r="B619" s="285"/>
      <c r="C619" s="285"/>
      <c r="D619" s="304"/>
      <c r="E619" s="300"/>
      <c r="F619" s="307"/>
      <c r="G619" s="307"/>
      <c r="H619" s="307"/>
      <c r="I619" s="307"/>
      <c r="J619" s="307"/>
      <c r="K619" s="307"/>
      <c r="L619" s="291"/>
      <c r="M619" s="315"/>
      <c r="N619" s="316"/>
      <c r="O619" s="316"/>
      <c r="P619" s="290"/>
      <c r="Q619" s="316"/>
    </row>
    <row r="620" spans="1:17" s="82" customFormat="1" ht="24.95" customHeight="1">
      <c r="A620" s="284"/>
      <c r="B620" s="285"/>
      <c r="C620" s="285"/>
      <c r="D620" s="304"/>
      <c r="E620" s="509" t="s">
        <v>1058</v>
      </c>
      <c r="F620" s="510"/>
      <c r="G620" s="510"/>
      <c r="H620" s="510"/>
      <c r="I620" s="510"/>
      <c r="J620" s="511"/>
      <c r="K620" s="511"/>
      <c r="L620" s="291"/>
      <c r="M620" s="315"/>
      <c r="N620" s="316"/>
      <c r="O620" s="316"/>
      <c r="P620" s="290"/>
      <c r="Q620" s="316"/>
    </row>
    <row r="621" spans="1:17" s="82" customFormat="1" ht="24.95" customHeight="1">
      <c r="A621" s="284"/>
      <c r="B621" s="285"/>
      <c r="C621" s="285"/>
      <c r="D621" s="304"/>
      <c r="E621" s="292"/>
      <c r="F621" s="293"/>
      <c r="G621" s="523" t="s">
        <v>1881</v>
      </c>
      <c r="H621" s="523"/>
      <c r="I621" s="523"/>
      <c r="J621" s="296"/>
      <c r="K621" s="296"/>
      <c r="L621" s="291"/>
      <c r="M621" s="315"/>
      <c r="N621" s="316"/>
      <c r="O621" s="316"/>
      <c r="P621" s="290"/>
      <c r="Q621" s="316"/>
    </row>
    <row r="622" spans="1:17" s="82" customFormat="1" ht="24.95" customHeight="1">
      <c r="A622" s="284"/>
      <c r="B622" s="285"/>
      <c r="C622" s="285"/>
      <c r="D622" s="304"/>
      <c r="E622" s="516" t="s">
        <v>1790</v>
      </c>
      <c r="F622" s="518"/>
      <c r="G622" s="518"/>
      <c r="H622" s="518"/>
      <c r="I622" s="518"/>
      <c r="J622" s="518"/>
      <c r="K622" s="518"/>
      <c r="L622" s="291">
        <f>ROUNDDOWN(((30000*10)+(34000*2))*2*12/1000,0)</f>
        <v>8832</v>
      </c>
      <c r="M622" s="315">
        <f>+L622</f>
        <v>8832</v>
      </c>
      <c r="N622" s="316">
        <v>21120</v>
      </c>
      <c r="O622" s="316">
        <f t="shared" si="13"/>
        <v>-12288</v>
      </c>
      <c r="P622" s="290"/>
      <c r="Q622" s="316" t="s">
        <v>1479</v>
      </c>
    </row>
    <row r="623" spans="1:17" s="82" customFormat="1" ht="24.95" customHeight="1">
      <c r="A623" s="284"/>
      <c r="B623" s="285"/>
      <c r="C623" s="285"/>
      <c r="D623" s="304"/>
      <c r="E623" s="300"/>
      <c r="F623" s="307"/>
      <c r="G623" s="523" t="s">
        <v>1885</v>
      </c>
      <c r="H623" s="523"/>
      <c r="I623" s="523"/>
      <c r="J623" s="308"/>
      <c r="K623" s="308"/>
      <c r="L623" s="291"/>
      <c r="M623" s="315"/>
      <c r="N623" s="316"/>
      <c r="O623" s="316"/>
      <c r="P623" s="290"/>
      <c r="Q623" s="316"/>
    </row>
    <row r="624" spans="1:17" s="82" customFormat="1" ht="24.95" customHeight="1">
      <c r="A624" s="284"/>
      <c r="B624" s="285"/>
      <c r="C624" s="285"/>
      <c r="D624" s="304"/>
      <c r="E624" s="516" t="s">
        <v>1791</v>
      </c>
      <c r="F624" s="518"/>
      <c r="G624" s="518"/>
      <c r="H624" s="518"/>
      <c r="I624" s="518"/>
      <c r="J624" s="518"/>
      <c r="K624" s="518"/>
      <c r="L624" s="291">
        <f>ROUNDDOWN(((30000*8)+(34000*8))*2*12/1000*80%,0)</f>
        <v>9830</v>
      </c>
      <c r="M624" s="315">
        <f>+L624</f>
        <v>9830</v>
      </c>
      <c r="N624" s="316">
        <v>0</v>
      </c>
      <c r="O624" s="316">
        <f t="shared" si="13"/>
        <v>9830</v>
      </c>
      <c r="P624" s="290"/>
      <c r="Q624" s="316"/>
    </row>
    <row r="625" spans="1:17" s="236" customFormat="1" ht="24.95" hidden="1" customHeight="1">
      <c r="A625" s="301"/>
      <c r="B625" s="302"/>
      <c r="C625" s="302"/>
      <c r="D625" s="309"/>
      <c r="E625" s="509" t="s">
        <v>1792</v>
      </c>
      <c r="F625" s="510"/>
      <c r="G625" s="510"/>
      <c r="H625" s="510"/>
      <c r="I625" s="510"/>
      <c r="J625" s="511"/>
      <c r="K625" s="511"/>
      <c r="L625" s="299"/>
      <c r="M625" s="315"/>
      <c r="N625" s="316"/>
      <c r="O625" s="316"/>
      <c r="P625" s="290"/>
      <c r="Q625" s="316"/>
    </row>
    <row r="626" spans="1:17" s="236" customFormat="1" ht="24.95" hidden="1" customHeight="1">
      <c r="A626" s="301"/>
      <c r="B626" s="302"/>
      <c r="C626" s="302"/>
      <c r="D626" s="309"/>
      <c r="E626" s="516" t="s">
        <v>1974</v>
      </c>
      <c r="F626" s="511"/>
      <c r="G626" s="511"/>
      <c r="H626" s="511"/>
      <c r="I626" s="511"/>
      <c r="J626" s="511"/>
      <c r="K626" s="511"/>
      <c r="L626" s="291">
        <v>0</v>
      </c>
      <c r="M626" s="315">
        <v>0</v>
      </c>
      <c r="N626" s="316">
        <v>7200</v>
      </c>
      <c r="O626" s="316">
        <f t="shared" si="13"/>
        <v>-7200</v>
      </c>
      <c r="P626" s="290"/>
      <c r="Q626" s="316" t="s">
        <v>1793</v>
      </c>
    </row>
    <row r="627" spans="1:17" s="82" customFormat="1" ht="24.95" customHeight="1">
      <c r="A627" s="284"/>
      <c r="B627" s="285"/>
      <c r="C627" s="285"/>
      <c r="D627" s="304"/>
      <c r="E627" s="509" t="s">
        <v>1794</v>
      </c>
      <c r="F627" s="510"/>
      <c r="G627" s="510"/>
      <c r="H627" s="510"/>
      <c r="I627" s="510"/>
      <c r="J627" s="515"/>
      <c r="K627" s="515"/>
      <c r="L627" s="291"/>
      <c r="M627" s="315"/>
      <c r="N627" s="316"/>
      <c r="O627" s="316"/>
      <c r="P627" s="290"/>
      <c r="Q627" s="316"/>
    </row>
    <row r="628" spans="1:17" s="82" customFormat="1" ht="24.95" customHeight="1">
      <c r="A628" s="284"/>
      <c r="B628" s="285"/>
      <c r="C628" s="285"/>
      <c r="D628" s="304"/>
      <c r="E628" s="292"/>
      <c r="F628" s="293"/>
      <c r="G628" s="510" t="s">
        <v>1923</v>
      </c>
      <c r="H628" s="510"/>
      <c r="I628" s="510"/>
      <c r="J628" s="296"/>
      <c r="K628" s="296"/>
      <c r="L628" s="291"/>
      <c r="M628" s="315"/>
      <c r="N628" s="316"/>
      <c r="O628" s="316"/>
      <c r="P628" s="290"/>
      <c r="Q628" s="316"/>
    </row>
    <row r="629" spans="1:17" s="82" customFormat="1" ht="24.95" customHeight="1">
      <c r="A629" s="284"/>
      <c r="B629" s="285"/>
      <c r="C629" s="285"/>
      <c r="D629" s="304"/>
      <c r="E629" s="516" t="s">
        <v>1795</v>
      </c>
      <c r="F629" s="518"/>
      <c r="G629" s="518"/>
      <c r="H629" s="518"/>
      <c r="I629" s="518"/>
      <c r="J629" s="518"/>
      <c r="K629" s="518"/>
      <c r="L629" s="291">
        <f>ROUNDDOWN(((80000*4)+(120000*6))*12/1000,0)</f>
        <v>12480</v>
      </c>
      <c r="M629" s="315">
        <f>+L629</f>
        <v>12480</v>
      </c>
      <c r="N629" s="316">
        <v>0</v>
      </c>
      <c r="O629" s="316">
        <f t="shared" si="13"/>
        <v>12480</v>
      </c>
      <c r="P629" s="290"/>
      <c r="Q629" s="316" t="s">
        <v>1761</v>
      </c>
    </row>
    <row r="630" spans="1:17" s="82" customFormat="1" ht="24.95" customHeight="1">
      <c r="A630" s="284"/>
      <c r="B630" s="285"/>
      <c r="C630" s="285"/>
      <c r="D630" s="304"/>
      <c r="E630" s="300"/>
      <c r="F630" s="307"/>
      <c r="G630" s="523" t="s">
        <v>1885</v>
      </c>
      <c r="H630" s="523"/>
      <c r="I630" s="523"/>
      <c r="J630" s="308"/>
      <c r="K630" s="308"/>
      <c r="L630" s="291"/>
      <c r="M630" s="315"/>
      <c r="N630" s="316"/>
      <c r="O630" s="316"/>
      <c r="P630" s="290"/>
      <c r="Q630" s="316"/>
    </row>
    <row r="631" spans="1:17" s="82" customFormat="1" ht="24.95" customHeight="1">
      <c r="A631" s="284"/>
      <c r="B631" s="285"/>
      <c r="C631" s="285"/>
      <c r="D631" s="304"/>
      <c r="E631" s="300"/>
      <c r="F631" s="518" t="s">
        <v>1796</v>
      </c>
      <c r="G631" s="518"/>
      <c r="H631" s="518"/>
      <c r="I631" s="518"/>
      <c r="J631" s="518"/>
      <c r="K631" s="518"/>
      <c r="L631" s="291">
        <f>ROUNDDOWN(((80000*8)+(120000*6))*12/1000*80%,0)</f>
        <v>13056</v>
      </c>
      <c r="M631" s="315">
        <f>+L631</f>
        <v>13056</v>
      </c>
      <c r="N631" s="316">
        <v>0</v>
      </c>
      <c r="O631" s="316">
        <f t="shared" si="13"/>
        <v>13056</v>
      </c>
      <c r="P631" s="290"/>
      <c r="Q631" s="316" t="s">
        <v>1479</v>
      </c>
    </row>
    <row r="632" spans="1:17" s="82" customFormat="1" ht="24.95" customHeight="1">
      <c r="A632" s="284"/>
      <c r="B632" s="285"/>
      <c r="C632" s="285"/>
      <c r="D632" s="304"/>
      <c r="E632" s="509" t="s">
        <v>1059</v>
      </c>
      <c r="F632" s="510"/>
      <c r="G632" s="510"/>
      <c r="H632" s="510"/>
      <c r="I632" s="510"/>
      <c r="J632" s="511"/>
      <c r="K632" s="511"/>
      <c r="L632" s="291"/>
      <c r="M632" s="315"/>
      <c r="N632" s="316"/>
      <c r="O632" s="316"/>
      <c r="P632" s="290"/>
      <c r="Q632" s="316"/>
    </row>
    <row r="633" spans="1:17" s="82" customFormat="1" ht="24.95" customHeight="1">
      <c r="A633" s="284"/>
      <c r="B633" s="285"/>
      <c r="C633" s="285"/>
      <c r="D633" s="304"/>
      <c r="E633" s="292"/>
      <c r="F633" s="293"/>
      <c r="G633" s="510" t="s">
        <v>903</v>
      </c>
      <c r="H633" s="510"/>
      <c r="I633" s="510"/>
      <c r="J633" s="296"/>
      <c r="K633" s="296"/>
      <c r="L633" s="291"/>
      <c r="M633" s="315"/>
      <c r="N633" s="316"/>
      <c r="O633" s="316"/>
      <c r="P633" s="290"/>
      <c r="Q633" s="316"/>
    </row>
    <row r="634" spans="1:17" s="82" customFormat="1" ht="24.95" customHeight="1">
      <c r="A634" s="284"/>
      <c r="B634" s="285"/>
      <c r="C634" s="285"/>
      <c r="D634" s="304"/>
      <c r="E634" s="516" t="s">
        <v>1797</v>
      </c>
      <c r="F634" s="518"/>
      <c r="G634" s="518"/>
      <c r="H634" s="518"/>
      <c r="I634" s="518"/>
      <c r="J634" s="518"/>
      <c r="K634" s="518"/>
      <c r="L634" s="291">
        <f>ROUNDDOWN(((37000*11)+(59000*2))*12/1000,0)</f>
        <v>6300</v>
      </c>
      <c r="M634" s="315">
        <f>+L634</f>
        <v>6300</v>
      </c>
      <c r="N634" s="316">
        <v>15960</v>
      </c>
      <c r="O634" s="316">
        <f t="shared" si="13"/>
        <v>-9660</v>
      </c>
      <c r="P634" s="290"/>
      <c r="Q634" s="316" t="s">
        <v>1479</v>
      </c>
    </row>
    <row r="635" spans="1:17" s="82" customFormat="1" ht="24.95" customHeight="1">
      <c r="A635" s="284"/>
      <c r="B635" s="285"/>
      <c r="C635" s="285"/>
      <c r="D635" s="304"/>
      <c r="E635" s="300"/>
      <c r="F635" s="307"/>
      <c r="G635" s="523" t="s">
        <v>1885</v>
      </c>
      <c r="H635" s="523"/>
      <c r="I635" s="523"/>
      <c r="J635" s="308"/>
      <c r="K635" s="308"/>
      <c r="L635" s="291"/>
      <c r="M635" s="315"/>
      <c r="N635" s="316"/>
      <c r="O635" s="316"/>
      <c r="P635" s="290"/>
      <c r="Q635" s="316"/>
    </row>
    <row r="636" spans="1:17" s="82" customFormat="1" ht="24.95" customHeight="1">
      <c r="A636" s="284"/>
      <c r="B636" s="285"/>
      <c r="C636" s="285"/>
      <c r="D636" s="304"/>
      <c r="E636" s="516" t="s">
        <v>1798</v>
      </c>
      <c r="F636" s="518"/>
      <c r="G636" s="518"/>
      <c r="H636" s="518"/>
      <c r="I636" s="518"/>
      <c r="J636" s="518"/>
      <c r="K636" s="518"/>
      <c r="L636" s="291">
        <f>ROUNDDOWN(((37000*9)+(59000*8))*12/1000*80%,0)</f>
        <v>7728</v>
      </c>
      <c r="M636" s="315">
        <f>+L636</f>
        <v>7728</v>
      </c>
      <c r="N636" s="316">
        <v>0</v>
      </c>
      <c r="O636" s="316">
        <f t="shared" si="13"/>
        <v>7728</v>
      </c>
      <c r="P636" s="290"/>
      <c r="Q636" s="316"/>
    </row>
    <row r="637" spans="1:17" s="82" customFormat="1" ht="24.95" customHeight="1">
      <c r="A637" s="284"/>
      <c r="B637" s="285"/>
      <c r="C637" s="285"/>
      <c r="D637" s="304"/>
      <c r="E637" s="509" t="s">
        <v>1060</v>
      </c>
      <c r="F637" s="510"/>
      <c r="G637" s="510"/>
      <c r="H637" s="510"/>
      <c r="I637" s="510"/>
      <c r="J637" s="511"/>
      <c r="K637" s="511"/>
      <c r="L637" s="291"/>
      <c r="M637" s="315"/>
      <c r="N637" s="316"/>
      <c r="O637" s="316"/>
      <c r="P637" s="290"/>
      <c r="Q637" s="316"/>
    </row>
    <row r="638" spans="1:17" s="82" customFormat="1" ht="24.95" customHeight="1">
      <c r="A638" s="284"/>
      <c r="B638" s="285"/>
      <c r="C638" s="285"/>
      <c r="D638" s="304"/>
      <c r="E638" s="292"/>
      <c r="F638" s="293"/>
      <c r="G638" s="510" t="s">
        <v>1061</v>
      </c>
      <c r="H638" s="510"/>
      <c r="I638" s="510"/>
      <c r="J638" s="296"/>
      <c r="K638" s="296"/>
      <c r="L638" s="291"/>
      <c r="M638" s="315"/>
      <c r="N638" s="316"/>
      <c r="O638" s="316"/>
      <c r="P638" s="290"/>
      <c r="Q638" s="316"/>
    </row>
    <row r="639" spans="1:17" s="82" customFormat="1" ht="24.95" customHeight="1">
      <c r="A639" s="284"/>
      <c r="B639" s="285"/>
      <c r="C639" s="285"/>
      <c r="D639" s="304"/>
      <c r="E639" s="509"/>
      <c r="F639" s="510"/>
      <c r="G639" s="510"/>
      <c r="H639" s="510"/>
      <c r="I639" s="510"/>
      <c r="J639" s="511" t="s">
        <v>1062</v>
      </c>
      <c r="K639" s="511"/>
      <c r="L639" s="291">
        <f>ROUNDDOWN(3600000*0.012,0)</f>
        <v>43200</v>
      </c>
      <c r="M639" s="315">
        <f>+L639</f>
        <v>43200</v>
      </c>
      <c r="N639" s="316">
        <v>43200</v>
      </c>
      <c r="O639" s="316">
        <f t="shared" si="13"/>
        <v>0</v>
      </c>
      <c r="P639" s="290"/>
      <c r="Q639" s="316"/>
    </row>
    <row r="640" spans="1:17" s="82" customFormat="1" ht="24.95" customHeight="1">
      <c r="A640" s="284"/>
      <c r="B640" s="285"/>
      <c r="C640" s="285"/>
      <c r="D640" s="304"/>
      <c r="E640" s="292"/>
      <c r="F640" s="293"/>
      <c r="G640" s="510" t="s">
        <v>1063</v>
      </c>
      <c r="H640" s="510"/>
      <c r="I640" s="510"/>
      <c r="J640" s="296"/>
      <c r="K640" s="296"/>
      <c r="L640" s="291"/>
      <c r="M640" s="315"/>
      <c r="N640" s="316"/>
      <c r="O640" s="316"/>
      <c r="P640" s="290"/>
      <c r="Q640" s="316"/>
    </row>
    <row r="641" spans="1:17" s="82" customFormat="1" ht="24.95" customHeight="1">
      <c r="A641" s="284"/>
      <c r="B641" s="285"/>
      <c r="C641" s="285"/>
      <c r="D641" s="304"/>
      <c r="E641" s="509"/>
      <c r="F641" s="510"/>
      <c r="G641" s="510"/>
      <c r="H641" s="510"/>
      <c r="I641" s="510"/>
      <c r="J641" s="511" t="s">
        <v>1799</v>
      </c>
      <c r="K641" s="511"/>
      <c r="L641" s="291">
        <f>ROUNDDOWN(2600*227*0.012,0)</f>
        <v>7082</v>
      </c>
      <c r="M641" s="315">
        <f>+L641</f>
        <v>7082</v>
      </c>
      <c r="N641" s="316">
        <v>10608</v>
      </c>
      <c r="O641" s="316">
        <f t="shared" ref="O641:O654" si="14">+M641-N641</f>
        <v>-3526</v>
      </c>
      <c r="P641" s="290"/>
      <c r="Q641" s="316" t="s">
        <v>1658</v>
      </c>
    </row>
    <row r="642" spans="1:17" s="82" customFormat="1" ht="24.95" customHeight="1">
      <c r="A642" s="284"/>
      <c r="B642" s="285"/>
      <c r="C642" s="285"/>
      <c r="D642" s="304"/>
      <c r="E642" s="292"/>
      <c r="F642" s="293"/>
      <c r="G642" s="523" t="s">
        <v>1800</v>
      </c>
      <c r="H642" s="523"/>
      <c r="I642" s="523"/>
      <c r="J642" s="308"/>
      <c r="K642" s="308"/>
      <c r="L642" s="291"/>
      <c r="M642" s="315"/>
      <c r="N642" s="316"/>
      <c r="O642" s="316"/>
      <c r="P642" s="290"/>
      <c r="Q642" s="316"/>
    </row>
    <row r="643" spans="1:17" s="82" customFormat="1" ht="24.95" customHeight="1">
      <c r="A643" s="284"/>
      <c r="B643" s="285"/>
      <c r="C643" s="285"/>
      <c r="D643" s="304"/>
      <c r="E643" s="292"/>
      <c r="F643" s="511" t="s">
        <v>1801</v>
      </c>
      <c r="G643" s="511"/>
      <c r="H643" s="511"/>
      <c r="I643" s="511"/>
      <c r="J643" s="511"/>
      <c r="K643" s="511"/>
      <c r="L643" s="291">
        <f>ROUNDDOWN(2600*113*0.012*80%,0)</f>
        <v>2820</v>
      </c>
      <c r="M643" s="315">
        <f>+L643</f>
        <v>2820</v>
      </c>
      <c r="N643" s="316">
        <v>0</v>
      </c>
      <c r="O643" s="316">
        <f t="shared" si="14"/>
        <v>2820</v>
      </c>
      <c r="P643" s="290"/>
      <c r="Q643" s="316"/>
    </row>
    <row r="644" spans="1:17" s="82" customFormat="1" ht="24.95" customHeight="1">
      <c r="A644" s="284"/>
      <c r="B644" s="285"/>
      <c r="C644" s="285"/>
      <c r="D644" s="304"/>
      <c r="E644" s="509" t="s">
        <v>1064</v>
      </c>
      <c r="F644" s="510"/>
      <c r="G644" s="510"/>
      <c r="H644" s="510"/>
      <c r="I644" s="510"/>
      <c r="J644" s="511"/>
      <c r="K644" s="511"/>
      <c r="L644" s="291"/>
      <c r="M644" s="315"/>
      <c r="N644" s="316"/>
      <c r="O644" s="316"/>
      <c r="P644" s="290"/>
      <c r="Q644" s="316"/>
    </row>
    <row r="645" spans="1:17" s="82" customFormat="1" ht="24.95" customHeight="1">
      <c r="A645" s="284"/>
      <c r="B645" s="285"/>
      <c r="C645" s="285"/>
      <c r="D645" s="304"/>
      <c r="E645" s="509"/>
      <c r="F645" s="510"/>
      <c r="G645" s="510"/>
      <c r="H645" s="510"/>
      <c r="I645" s="510"/>
      <c r="J645" s="511" t="s">
        <v>1065</v>
      </c>
      <c r="K645" s="511"/>
      <c r="L645" s="291">
        <f>ROUNDDOWN(570000*0.012,0)</f>
        <v>6840</v>
      </c>
      <c r="M645" s="315">
        <f>+L645</f>
        <v>6840</v>
      </c>
      <c r="N645" s="316">
        <v>6840</v>
      </c>
      <c r="O645" s="316">
        <f t="shared" si="14"/>
        <v>0</v>
      </c>
      <c r="P645" s="290"/>
      <c r="Q645" s="316"/>
    </row>
    <row r="646" spans="1:17" s="82" customFormat="1" ht="24.95" customHeight="1">
      <c r="A646" s="284"/>
      <c r="B646" s="285"/>
      <c r="C646" s="285"/>
      <c r="D646" s="304"/>
      <c r="E646" s="509" t="s">
        <v>1066</v>
      </c>
      <c r="F646" s="510"/>
      <c r="G646" s="510"/>
      <c r="H646" s="510"/>
      <c r="I646" s="510"/>
      <c r="J646" s="511"/>
      <c r="K646" s="511"/>
      <c r="L646" s="291"/>
      <c r="M646" s="315"/>
      <c r="N646" s="316"/>
      <c r="O646" s="316"/>
      <c r="P646" s="290"/>
      <c r="Q646" s="316"/>
    </row>
    <row r="647" spans="1:17" s="82" customFormat="1" ht="24.95" customHeight="1">
      <c r="A647" s="284"/>
      <c r="B647" s="285"/>
      <c r="C647" s="285"/>
      <c r="D647" s="304"/>
      <c r="E647" s="509"/>
      <c r="F647" s="510"/>
      <c r="G647" s="510"/>
      <c r="H647" s="510"/>
      <c r="I647" s="510"/>
      <c r="J647" s="511" t="s">
        <v>1802</v>
      </c>
      <c r="K647" s="511"/>
      <c r="L647" s="291">
        <f>ROUNDDOWN(90000*2*12/1000,0)</f>
        <v>2160</v>
      </c>
      <c r="M647" s="315">
        <f>+L647</f>
        <v>2160</v>
      </c>
      <c r="N647" s="316">
        <v>3240</v>
      </c>
      <c r="O647" s="316">
        <f t="shared" si="14"/>
        <v>-1080</v>
      </c>
      <c r="P647" s="290"/>
      <c r="Q647" s="316" t="s">
        <v>1479</v>
      </c>
    </row>
    <row r="648" spans="1:17" s="82" customFormat="1" ht="24.95" customHeight="1">
      <c r="A648" s="284"/>
      <c r="B648" s="285"/>
      <c r="C648" s="285"/>
      <c r="D648" s="304"/>
      <c r="E648" s="529" t="s">
        <v>1924</v>
      </c>
      <c r="F648" s="523"/>
      <c r="G648" s="523"/>
      <c r="H648" s="523"/>
      <c r="I648" s="523"/>
      <c r="J648" s="521"/>
      <c r="K648" s="308"/>
      <c r="L648" s="291"/>
      <c r="M648" s="315"/>
      <c r="N648" s="316"/>
      <c r="O648" s="316"/>
      <c r="P648" s="290"/>
      <c r="Q648" s="316"/>
    </row>
    <row r="649" spans="1:17" s="82" customFormat="1" ht="24.95" customHeight="1">
      <c r="A649" s="284"/>
      <c r="B649" s="285"/>
      <c r="C649" s="285"/>
      <c r="D649" s="304"/>
      <c r="E649" s="516" t="s">
        <v>1803</v>
      </c>
      <c r="F649" s="511"/>
      <c r="G649" s="511"/>
      <c r="H649" s="511"/>
      <c r="I649" s="511"/>
      <c r="J649" s="511"/>
      <c r="K649" s="511"/>
      <c r="L649" s="291">
        <f>ROUNDDOWN(90000*1*12/1000*80%,0)</f>
        <v>864</v>
      </c>
      <c r="M649" s="315">
        <f>+L649</f>
        <v>864</v>
      </c>
      <c r="N649" s="316">
        <v>0</v>
      </c>
      <c r="O649" s="316">
        <f t="shared" si="14"/>
        <v>864</v>
      </c>
      <c r="P649" s="290"/>
      <c r="Q649" s="316"/>
    </row>
    <row r="650" spans="1:17" s="82" customFormat="1" ht="24.95" customHeight="1">
      <c r="A650" s="284"/>
      <c r="B650" s="285"/>
      <c r="C650" s="285"/>
      <c r="D650" s="304"/>
      <c r="E650" s="509" t="s">
        <v>1067</v>
      </c>
      <c r="F650" s="510"/>
      <c r="G650" s="510"/>
      <c r="H650" s="510"/>
      <c r="I650" s="510"/>
      <c r="J650" s="511"/>
      <c r="K650" s="511"/>
      <c r="L650" s="291"/>
      <c r="M650" s="315"/>
      <c r="N650" s="316"/>
      <c r="O650" s="316"/>
      <c r="P650" s="290"/>
      <c r="Q650" s="316"/>
    </row>
    <row r="651" spans="1:17" s="82" customFormat="1" ht="24.95" customHeight="1">
      <c r="A651" s="284"/>
      <c r="B651" s="285"/>
      <c r="C651" s="285"/>
      <c r="D651" s="304"/>
      <c r="E651" s="292"/>
      <c r="F651" s="293"/>
      <c r="G651" s="510" t="s">
        <v>903</v>
      </c>
      <c r="H651" s="510"/>
      <c r="I651" s="510"/>
      <c r="J651" s="296"/>
      <c r="K651" s="296"/>
      <c r="L651" s="291"/>
      <c r="M651" s="315"/>
      <c r="N651" s="316"/>
      <c r="O651" s="316"/>
      <c r="P651" s="290"/>
      <c r="Q651" s="316"/>
    </row>
    <row r="652" spans="1:17" s="82" customFormat="1" ht="24.95" customHeight="1">
      <c r="A652" s="284"/>
      <c r="B652" s="285"/>
      <c r="C652" s="285"/>
      <c r="D652" s="304"/>
      <c r="E652" s="509"/>
      <c r="F652" s="510"/>
      <c r="G652" s="510"/>
      <c r="H652" s="510"/>
      <c r="I652" s="510"/>
      <c r="J652" s="511" t="s">
        <v>1804</v>
      </c>
      <c r="K652" s="511"/>
      <c r="L652" s="291">
        <f>ROUNDDOWN(35000*8*0.012,0)</f>
        <v>3360</v>
      </c>
      <c r="M652" s="315">
        <f>+L652</f>
        <v>3360</v>
      </c>
      <c r="N652" s="316">
        <v>6300</v>
      </c>
      <c r="O652" s="316">
        <f t="shared" si="14"/>
        <v>-2940</v>
      </c>
      <c r="P652" s="290"/>
      <c r="Q652" s="316" t="s">
        <v>1479</v>
      </c>
    </row>
    <row r="653" spans="1:17" s="82" customFormat="1" ht="24.95" customHeight="1">
      <c r="A653" s="284"/>
      <c r="B653" s="285"/>
      <c r="C653" s="285"/>
      <c r="D653" s="304"/>
      <c r="E653" s="292"/>
      <c r="F653" s="293"/>
      <c r="G653" s="523" t="s">
        <v>1885</v>
      </c>
      <c r="H653" s="523"/>
      <c r="I653" s="523"/>
      <c r="J653" s="308"/>
      <c r="K653" s="308"/>
      <c r="L653" s="291"/>
      <c r="M653" s="315"/>
      <c r="N653" s="316"/>
      <c r="O653" s="316"/>
      <c r="P653" s="290"/>
      <c r="Q653" s="316"/>
    </row>
    <row r="654" spans="1:17" s="82" customFormat="1" ht="24.95" customHeight="1">
      <c r="A654" s="284"/>
      <c r="B654" s="285"/>
      <c r="C654" s="285"/>
      <c r="D654" s="304"/>
      <c r="E654" s="516" t="s">
        <v>1805</v>
      </c>
      <c r="F654" s="511"/>
      <c r="G654" s="511"/>
      <c r="H654" s="511"/>
      <c r="I654" s="511"/>
      <c r="J654" s="511"/>
      <c r="K654" s="511"/>
      <c r="L654" s="291">
        <f>ROUNDDOWN(35000*7*12*0.8/1000,0)</f>
        <v>2352</v>
      </c>
      <c r="M654" s="315">
        <f>+L654</f>
        <v>2352</v>
      </c>
      <c r="N654" s="316">
        <v>0</v>
      </c>
      <c r="O654" s="316">
        <f t="shared" si="14"/>
        <v>2352</v>
      </c>
      <c r="P654" s="290"/>
      <c r="Q654" s="316"/>
    </row>
    <row r="655" spans="1:17" s="82" customFormat="1" ht="24.95" customHeight="1">
      <c r="A655" s="284"/>
      <c r="B655" s="285"/>
      <c r="C655" s="285"/>
      <c r="D655" s="304"/>
      <c r="E655" s="403" t="s">
        <v>610</v>
      </c>
      <c r="F655" s="403"/>
      <c r="G655" s="403"/>
      <c r="H655" s="403"/>
      <c r="I655" s="403"/>
      <c r="J655" s="403"/>
      <c r="K655" s="287"/>
      <c r="L655" s="288">
        <f>SUM(L656:L787)</f>
        <v>1100463</v>
      </c>
      <c r="M655" s="288"/>
      <c r="N655" s="288"/>
      <c r="O655" s="288"/>
      <c r="P655" s="289"/>
      <c r="Q655" s="316"/>
    </row>
    <row r="656" spans="1:17" s="82" customFormat="1" ht="24.95" customHeight="1">
      <c r="A656" s="284"/>
      <c r="B656" s="285"/>
      <c r="C656" s="285"/>
      <c r="D656" s="304"/>
      <c r="E656" s="509" t="s">
        <v>900</v>
      </c>
      <c r="F656" s="510"/>
      <c r="G656" s="510"/>
      <c r="H656" s="510"/>
      <c r="I656" s="510"/>
      <c r="J656" s="511"/>
      <c r="K656" s="511"/>
      <c r="L656" s="291"/>
      <c r="M656" s="315"/>
      <c r="N656" s="316"/>
      <c r="O656" s="316"/>
      <c r="P656" s="290"/>
      <c r="Q656" s="316"/>
    </row>
    <row r="657" spans="1:17" s="82" customFormat="1" ht="24.95" customHeight="1">
      <c r="A657" s="284"/>
      <c r="B657" s="285"/>
      <c r="C657" s="285"/>
      <c r="D657" s="304"/>
      <c r="E657" s="292"/>
      <c r="F657" s="293"/>
      <c r="G657" s="510" t="s">
        <v>901</v>
      </c>
      <c r="H657" s="510"/>
      <c r="I657" s="510"/>
      <c r="J657" s="296"/>
      <c r="K657" s="296"/>
      <c r="L657" s="291"/>
      <c r="M657" s="315"/>
      <c r="N657" s="316"/>
      <c r="O657" s="316"/>
      <c r="P657" s="290"/>
      <c r="Q657" s="316"/>
    </row>
    <row r="658" spans="1:17" s="82" customFormat="1" ht="24.95" customHeight="1">
      <c r="A658" s="284"/>
      <c r="B658" s="285"/>
      <c r="C658" s="285"/>
      <c r="D658" s="304"/>
      <c r="E658" s="509" t="s">
        <v>1806</v>
      </c>
      <c r="F658" s="510"/>
      <c r="G658" s="510"/>
      <c r="H658" s="510"/>
      <c r="I658" s="510"/>
      <c r="J658" s="296"/>
      <c r="K658" s="296"/>
      <c r="L658" s="291"/>
      <c r="M658" s="315"/>
      <c r="N658" s="316"/>
      <c r="O658" s="316"/>
      <c r="P658" s="290"/>
      <c r="Q658" s="316"/>
    </row>
    <row r="659" spans="1:17" s="82" customFormat="1" ht="24.95" customHeight="1">
      <c r="A659" s="284"/>
      <c r="B659" s="285"/>
      <c r="C659" s="285"/>
      <c r="D659" s="304"/>
      <c r="E659" s="305"/>
      <c r="F659" s="298"/>
      <c r="G659" s="298"/>
      <c r="H659" s="298"/>
      <c r="I659" s="298"/>
      <c r="J659" s="511" t="s">
        <v>1807</v>
      </c>
      <c r="K659" s="511"/>
      <c r="L659" s="291">
        <f>ROUNDDOWN(3700*477*0.012,0)</f>
        <v>21178</v>
      </c>
      <c r="M659" s="315">
        <f>+(L659)</f>
        <v>21178</v>
      </c>
      <c r="N659" s="316">
        <v>26640</v>
      </c>
      <c r="O659" s="316">
        <f t="shared" ref="O659:O711" si="15">+M659-N659</f>
        <v>-5462</v>
      </c>
      <c r="P659" s="290"/>
      <c r="Q659" s="316" t="s">
        <v>1479</v>
      </c>
    </row>
    <row r="660" spans="1:17" s="82" customFormat="1" ht="24.95" customHeight="1">
      <c r="A660" s="284"/>
      <c r="B660" s="285"/>
      <c r="C660" s="285"/>
      <c r="D660" s="304"/>
      <c r="E660" s="509" t="s">
        <v>1808</v>
      </c>
      <c r="F660" s="510"/>
      <c r="G660" s="510"/>
      <c r="H660" s="510"/>
      <c r="I660" s="510"/>
      <c r="J660" s="296"/>
      <c r="K660" s="296"/>
      <c r="L660" s="291"/>
      <c r="M660" s="315"/>
      <c r="N660" s="316"/>
      <c r="O660" s="316"/>
      <c r="P660" s="290"/>
      <c r="Q660" s="316"/>
    </row>
    <row r="661" spans="1:17" s="82" customFormat="1" ht="24.95" customHeight="1">
      <c r="A661" s="284"/>
      <c r="B661" s="285"/>
      <c r="C661" s="285"/>
      <c r="D661" s="304"/>
      <c r="E661" s="305"/>
      <c r="F661" s="298"/>
      <c r="G661" s="298"/>
      <c r="H661" s="298"/>
      <c r="I661" s="298"/>
      <c r="J661" s="511" t="s">
        <v>1809</v>
      </c>
      <c r="K661" s="511"/>
      <c r="L661" s="291">
        <f>ROUNDDOWN(3700*23*0.012*80%,0)</f>
        <v>816</v>
      </c>
      <c r="M661" s="315">
        <f>+(L661)</f>
        <v>816</v>
      </c>
      <c r="N661" s="316">
        <v>0</v>
      </c>
      <c r="O661" s="316">
        <f t="shared" si="15"/>
        <v>816</v>
      </c>
      <c r="P661" s="290"/>
      <c r="Q661" s="316"/>
    </row>
    <row r="662" spans="1:17" s="82" customFormat="1" ht="24.95" customHeight="1">
      <c r="A662" s="284"/>
      <c r="B662" s="285"/>
      <c r="C662" s="285"/>
      <c r="D662" s="304"/>
      <c r="E662" s="509" t="s">
        <v>1810</v>
      </c>
      <c r="F662" s="510"/>
      <c r="G662" s="510"/>
      <c r="H662" s="510"/>
      <c r="I662" s="510"/>
      <c r="J662" s="296"/>
      <c r="K662" s="296"/>
      <c r="L662" s="291"/>
      <c r="M662" s="315"/>
      <c r="N662" s="316"/>
      <c r="O662" s="316"/>
      <c r="P662" s="290"/>
      <c r="Q662" s="316"/>
    </row>
    <row r="663" spans="1:17" s="82" customFormat="1" ht="24.95" customHeight="1">
      <c r="A663" s="284"/>
      <c r="B663" s="285"/>
      <c r="C663" s="285"/>
      <c r="D663" s="304"/>
      <c r="E663" s="305"/>
      <c r="F663" s="298"/>
      <c r="G663" s="298"/>
      <c r="H663" s="298"/>
      <c r="I663" s="298"/>
      <c r="J663" s="511" t="s">
        <v>1811</v>
      </c>
      <c r="K663" s="511"/>
      <c r="L663" s="291">
        <f>ROUNDDOWN(4000*573*0.012,0)</f>
        <v>27504</v>
      </c>
      <c r="M663" s="315">
        <f>+(L663)</f>
        <v>27504</v>
      </c>
      <c r="N663" s="316">
        <v>33600</v>
      </c>
      <c r="O663" s="316">
        <f t="shared" si="15"/>
        <v>-6096</v>
      </c>
      <c r="P663" s="290"/>
      <c r="Q663" s="316" t="s">
        <v>1479</v>
      </c>
    </row>
    <row r="664" spans="1:17" s="82" customFormat="1" ht="24.95" customHeight="1">
      <c r="A664" s="284"/>
      <c r="B664" s="285"/>
      <c r="C664" s="285"/>
      <c r="D664" s="304"/>
      <c r="E664" s="509" t="s">
        <v>1812</v>
      </c>
      <c r="F664" s="510"/>
      <c r="G664" s="510"/>
      <c r="H664" s="510"/>
      <c r="I664" s="510"/>
      <c r="J664" s="296"/>
      <c r="K664" s="296"/>
      <c r="L664" s="291"/>
      <c r="M664" s="315"/>
      <c r="N664" s="316"/>
      <c r="O664" s="316"/>
      <c r="P664" s="290"/>
      <c r="Q664" s="316"/>
    </row>
    <row r="665" spans="1:17" s="82" customFormat="1" ht="24.95" customHeight="1">
      <c r="A665" s="284"/>
      <c r="B665" s="285"/>
      <c r="C665" s="285"/>
      <c r="D665" s="304"/>
      <c r="E665" s="305"/>
      <c r="F665" s="298"/>
      <c r="G665" s="298"/>
      <c r="H665" s="298"/>
      <c r="I665" s="298"/>
      <c r="J665" s="511" t="s">
        <v>1813</v>
      </c>
      <c r="K665" s="511"/>
      <c r="L665" s="291">
        <f>ROUNDDOWN(4000*27*0.012*80%,0)</f>
        <v>1036</v>
      </c>
      <c r="M665" s="315">
        <f>+(L665)</f>
        <v>1036</v>
      </c>
      <c r="N665" s="316">
        <v>0</v>
      </c>
      <c r="O665" s="316">
        <f t="shared" si="15"/>
        <v>1036</v>
      </c>
      <c r="P665" s="290"/>
      <c r="Q665" s="316"/>
    </row>
    <row r="666" spans="1:17" s="82" customFormat="1" ht="24.95" customHeight="1">
      <c r="A666" s="284"/>
      <c r="B666" s="285"/>
      <c r="C666" s="285"/>
      <c r="D666" s="304"/>
      <c r="E666" s="292"/>
      <c r="F666" s="293"/>
      <c r="G666" s="510" t="s">
        <v>902</v>
      </c>
      <c r="H666" s="510"/>
      <c r="I666" s="510"/>
      <c r="J666" s="296"/>
      <c r="K666" s="296"/>
      <c r="L666" s="291"/>
      <c r="M666" s="315"/>
      <c r="N666" s="316"/>
      <c r="O666" s="316"/>
      <c r="P666" s="290"/>
      <c r="Q666" s="316"/>
    </row>
    <row r="667" spans="1:17" s="82" customFormat="1" ht="24.95" customHeight="1">
      <c r="A667" s="284"/>
      <c r="B667" s="285"/>
      <c r="C667" s="285"/>
      <c r="D667" s="304"/>
      <c r="E667" s="509" t="s">
        <v>1806</v>
      </c>
      <c r="F667" s="510"/>
      <c r="G667" s="510"/>
      <c r="H667" s="510"/>
      <c r="I667" s="510"/>
      <c r="J667" s="296"/>
      <c r="K667" s="296"/>
      <c r="L667" s="291"/>
      <c r="M667" s="315"/>
      <c r="N667" s="316"/>
      <c r="O667" s="316"/>
      <c r="P667" s="290"/>
      <c r="Q667" s="316"/>
    </row>
    <row r="668" spans="1:17" s="82" customFormat="1" ht="24.95" customHeight="1">
      <c r="A668" s="284"/>
      <c r="B668" s="285"/>
      <c r="C668" s="285"/>
      <c r="D668" s="304"/>
      <c r="E668" s="305"/>
      <c r="F668" s="298"/>
      <c r="G668" s="298"/>
      <c r="H668" s="298"/>
      <c r="I668" s="298"/>
      <c r="J668" s="511" t="s">
        <v>1814</v>
      </c>
      <c r="K668" s="511"/>
      <c r="L668" s="291">
        <f>ROUNDDOWN(3000*334*0.012,0)</f>
        <v>12024</v>
      </c>
      <c r="M668" s="315">
        <f>+(L668)</f>
        <v>12024</v>
      </c>
      <c r="N668" s="316">
        <v>14400</v>
      </c>
      <c r="O668" s="316">
        <f t="shared" si="15"/>
        <v>-2376</v>
      </c>
      <c r="P668" s="290"/>
      <c r="Q668" s="316" t="s">
        <v>1815</v>
      </c>
    </row>
    <row r="669" spans="1:17" s="82" customFormat="1" ht="24.95" customHeight="1">
      <c r="A669" s="284"/>
      <c r="B669" s="285"/>
      <c r="C669" s="285"/>
      <c r="D669" s="304"/>
      <c r="E669" s="509" t="s">
        <v>1808</v>
      </c>
      <c r="F669" s="510"/>
      <c r="G669" s="510"/>
      <c r="H669" s="510"/>
      <c r="I669" s="510"/>
      <c r="J669" s="296"/>
      <c r="K669" s="296"/>
      <c r="L669" s="291"/>
      <c r="M669" s="315"/>
      <c r="N669" s="316"/>
      <c r="O669" s="316"/>
      <c r="P669" s="290"/>
      <c r="Q669" s="316"/>
    </row>
    <row r="670" spans="1:17" s="82" customFormat="1" ht="24.95" customHeight="1">
      <c r="A670" s="284"/>
      <c r="B670" s="285"/>
      <c r="C670" s="285"/>
      <c r="D670" s="304"/>
      <c r="E670" s="305"/>
      <c r="F670" s="298"/>
      <c r="G670" s="298"/>
      <c r="H670" s="298"/>
      <c r="I670" s="298"/>
      <c r="J670" s="511" t="s">
        <v>1816</v>
      </c>
      <c r="K670" s="511"/>
      <c r="L670" s="291">
        <f>ROUNDDOWN(3000*16*0.012*80%,0)</f>
        <v>460</v>
      </c>
      <c r="M670" s="315">
        <f>+(L670)</f>
        <v>460</v>
      </c>
      <c r="N670" s="316">
        <v>0</v>
      </c>
      <c r="O670" s="316">
        <f t="shared" si="15"/>
        <v>460</v>
      </c>
      <c r="P670" s="290"/>
      <c r="Q670" s="316"/>
    </row>
    <row r="671" spans="1:17" s="82" customFormat="1" ht="24.95" customHeight="1">
      <c r="A671" s="284"/>
      <c r="B671" s="285"/>
      <c r="C671" s="285"/>
      <c r="D671" s="304"/>
      <c r="E671" s="509" t="s">
        <v>1810</v>
      </c>
      <c r="F671" s="510"/>
      <c r="G671" s="510"/>
      <c r="H671" s="510"/>
      <c r="I671" s="510"/>
      <c r="J671" s="296"/>
      <c r="K671" s="296"/>
      <c r="L671" s="291"/>
      <c r="M671" s="315"/>
      <c r="N671" s="316"/>
      <c r="O671" s="316"/>
      <c r="P671" s="290"/>
      <c r="Q671" s="316"/>
    </row>
    <row r="672" spans="1:17" s="82" customFormat="1" ht="24.95" customHeight="1">
      <c r="A672" s="284"/>
      <c r="B672" s="285"/>
      <c r="C672" s="285"/>
      <c r="D672" s="304"/>
      <c r="E672" s="305"/>
      <c r="F672" s="298"/>
      <c r="G672" s="298"/>
      <c r="H672" s="298"/>
      <c r="I672" s="298"/>
      <c r="J672" s="511" t="s">
        <v>1817</v>
      </c>
      <c r="K672" s="511"/>
      <c r="L672" s="291">
        <f>ROUNDDOWN(3200*430*12/1000,0)</f>
        <v>16512</v>
      </c>
      <c r="M672" s="315">
        <f>+(L672)</f>
        <v>16512</v>
      </c>
      <c r="N672" s="316">
        <v>19200</v>
      </c>
      <c r="O672" s="316">
        <f t="shared" si="15"/>
        <v>-2688</v>
      </c>
      <c r="P672" s="290"/>
      <c r="Q672" s="316" t="s">
        <v>1815</v>
      </c>
    </row>
    <row r="673" spans="1:17" s="82" customFormat="1" ht="24.95" customHeight="1">
      <c r="A673" s="284"/>
      <c r="B673" s="285"/>
      <c r="C673" s="285"/>
      <c r="D673" s="304"/>
      <c r="E673" s="509" t="s">
        <v>1812</v>
      </c>
      <c r="F673" s="510"/>
      <c r="G673" s="510"/>
      <c r="H673" s="510"/>
      <c r="I673" s="510"/>
      <c r="J673" s="296"/>
      <c r="K673" s="296"/>
      <c r="L673" s="291"/>
      <c r="M673" s="315"/>
      <c r="N673" s="316"/>
      <c r="O673" s="316"/>
      <c r="P673" s="290"/>
      <c r="Q673" s="316"/>
    </row>
    <row r="674" spans="1:17" s="82" customFormat="1" ht="24.95" customHeight="1">
      <c r="A674" s="284"/>
      <c r="B674" s="285"/>
      <c r="C674" s="285"/>
      <c r="D674" s="304"/>
      <c r="E674" s="305"/>
      <c r="F674" s="298"/>
      <c r="G674" s="298"/>
      <c r="H674" s="298"/>
      <c r="I674" s="298"/>
      <c r="J674" s="511" t="s">
        <v>1818</v>
      </c>
      <c r="K674" s="511"/>
      <c r="L674" s="291">
        <f>ROUNDDOWN(3200*20*0.012*80%,0)</f>
        <v>614</v>
      </c>
      <c r="M674" s="315">
        <f>+(L674)</f>
        <v>614</v>
      </c>
      <c r="N674" s="316">
        <v>0</v>
      </c>
      <c r="O674" s="316">
        <f t="shared" si="15"/>
        <v>614</v>
      </c>
      <c r="P674" s="290"/>
      <c r="Q674" s="316"/>
    </row>
    <row r="675" spans="1:17" s="82" customFormat="1" ht="24.95" customHeight="1">
      <c r="A675" s="284"/>
      <c r="B675" s="285"/>
      <c r="C675" s="285"/>
      <c r="D675" s="304"/>
      <c r="E675" s="292"/>
      <c r="F675" s="293"/>
      <c r="G675" s="510" t="s">
        <v>903</v>
      </c>
      <c r="H675" s="510"/>
      <c r="I675" s="510"/>
      <c r="J675" s="296"/>
      <c r="K675" s="296"/>
      <c r="L675" s="291"/>
      <c r="M675" s="315"/>
      <c r="N675" s="316"/>
      <c r="O675" s="316"/>
      <c r="P675" s="290"/>
      <c r="Q675" s="316"/>
    </row>
    <row r="676" spans="1:17" s="82" customFormat="1" ht="24.95" customHeight="1">
      <c r="A676" s="284"/>
      <c r="B676" s="285"/>
      <c r="C676" s="285"/>
      <c r="D676" s="304"/>
      <c r="E676" s="509" t="s">
        <v>1806</v>
      </c>
      <c r="F676" s="510"/>
      <c r="G676" s="510"/>
      <c r="H676" s="510"/>
      <c r="I676" s="510"/>
      <c r="J676" s="296"/>
      <c r="K676" s="296"/>
      <c r="L676" s="291"/>
      <c r="M676" s="315"/>
      <c r="N676" s="316"/>
      <c r="O676" s="316"/>
      <c r="P676" s="290"/>
      <c r="Q676" s="316"/>
    </row>
    <row r="677" spans="1:17" s="82" customFormat="1" ht="24.95" customHeight="1">
      <c r="A677" s="284"/>
      <c r="B677" s="285"/>
      <c r="C677" s="285"/>
      <c r="D677" s="304"/>
      <c r="E677" s="305"/>
      <c r="F677" s="298"/>
      <c r="G677" s="298"/>
      <c r="H677" s="298"/>
      <c r="I677" s="298"/>
      <c r="J677" s="511" t="s">
        <v>1819</v>
      </c>
      <c r="K677" s="511"/>
      <c r="L677" s="291">
        <f>ROUNDDOWN(2500*860*0.012,0)</f>
        <v>25800</v>
      </c>
      <c r="M677" s="315">
        <f>+(L677)</f>
        <v>25800</v>
      </c>
      <c r="N677" s="316">
        <v>27000</v>
      </c>
      <c r="O677" s="316">
        <f t="shared" si="15"/>
        <v>-1200</v>
      </c>
      <c r="P677" s="290"/>
      <c r="Q677" s="316" t="s">
        <v>1479</v>
      </c>
    </row>
    <row r="678" spans="1:17" s="82" customFormat="1" ht="24.95" customHeight="1">
      <c r="A678" s="284"/>
      <c r="B678" s="285"/>
      <c r="C678" s="285"/>
      <c r="D678" s="304"/>
      <c r="E678" s="509" t="s">
        <v>1808</v>
      </c>
      <c r="F678" s="510"/>
      <c r="G678" s="510"/>
      <c r="H678" s="510"/>
      <c r="I678" s="510"/>
      <c r="J678" s="296"/>
      <c r="K678" s="296"/>
      <c r="L678" s="291"/>
      <c r="M678" s="315"/>
      <c r="N678" s="316"/>
      <c r="O678" s="316"/>
      <c r="P678" s="290"/>
      <c r="Q678" s="316"/>
    </row>
    <row r="679" spans="1:17" s="82" customFormat="1" ht="24.95" customHeight="1">
      <c r="A679" s="284"/>
      <c r="B679" s="285"/>
      <c r="C679" s="285"/>
      <c r="D679" s="304"/>
      <c r="E679" s="305"/>
      <c r="F679" s="298"/>
      <c r="G679" s="298"/>
      <c r="H679" s="298"/>
      <c r="I679" s="298"/>
      <c r="J679" s="511" t="s">
        <v>1820</v>
      </c>
      <c r="K679" s="511"/>
      <c r="L679" s="291">
        <f>ROUNDDOWN(2500*40*0.012*80%,0)</f>
        <v>960</v>
      </c>
      <c r="M679" s="315">
        <v>960</v>
      </c>
      <c r="N679" s="316">
        <v>0</v>
      </c>
      <c r="O679" s="316">
        <f t="shared" si="15"/>
        <v>960</v>
      </c>
      <c r="P679" s="290"/>
      <c r="Q679" s="316"/>
    </row>
    <row r="680" spans="1:17" s="82" customFormat="1" ht="24.95" customHeight="1">
      <c r="A680" s="284"/>
      <c r="B680" s="285"/>
      <c r="C680" s="285"/>
      <c r="D680" s="304"/>
      <c r="E680" s="509" t="s">
        <v>1810</v>
      </c>
      <c r="F680" s="510"/>
      <c r="G680" s="510"/>
      <c r="H680" s="510"/>
      <c r="I680" s="510"/>
      <c r="J680" s="296"/>
      <c r="K680" s="296"/>
      <c r="L680" s="291"/>
      <c r="M680" s="315"/>
      <c r="N680" s="316"/>
      <c r="O680" s="316"/>
      <c r="P680" s="290"/>
      <c r="Q680" s="316"/>
    </row>
    <row r="681" spans="1:17" s="82" customFormat="1" ht="24.95" customHeight="1">
      <c r="A681" s="284"/>
      <c r="B681" s="285"/>
      <c r="C681" s="285"/>
      <c r="D681" s="304"/>
      <c r="E681" s="305"/>
      <c r="F681" s="298"/>
      <c r="G681" s="298"/>
      <c r="H681" s="298"/>
      <c r="I681" s="298"/>
      <c r="J681" s="511" t="s">
        <v>1821</v>
      </c>
      <c r="K681" s="511"/>
      <c r="L681" s="291">
        <f>ROUNDDOWN(2700*860*0.012,0)</f>
        <v>27864</v>
      </c>
      <c r="M681" s="315">
        <f>+(L681)</f>
        <v>27864</v>
      </c>
      <c r="N681" s="316">
        <v>48600</v>
      </c>
      <c r="O681" s="316">
        <f t="shared" si="15"/>
        <v>-20736</v>
      </c>
      <c r="P681" s="290"/>
      <c r="Q681" s="316" t="s">
        <v>1479</v>
      </c>
    </row>
    <row r="682" spans="1:17" s="82" customFormat="1" ht="24.95" customHeight="1">
      <c r="A682" s="284"/>
      <c r="B682" s="285"/>
      <c r="C682" s="285"/>
      <c r="D682" s="304"/>
      <c r="E682" s="509" t="s">
        <v>1822</v>
      </c>
      <c r="F682" s="510"/>
      <c r="G682" s="510"/>
      <c r="H682" s="510"/>
      <c r="I682" s="510"/>
      <c r="J682" s="296"/>
      <c r="K682" s="296"/>
      <c r="L682" s="291"/>
      <c r="M682" s="315"/>
      <c r="N682" s="316"/>
      <c r="O682" s="316"/>
      <c r="P682" s="290"/>
      <c r="Q682" s="316"/>
    </row>
    <row r="683" spans="1:17" s="82" customFormat="1" ht="24.95" customHeight="1">
      <c r="A683" s="284"/>
      <c r="B683" s="285"/>
      <c r="C683" s="285"/>
      <c r="D683" s="304"/>
      <c r="E683" s="305"/>
      <c r="F683" s="298"/>
      <c r="G683" s="298"/>
      <c r="H683" s="298"/>
      <c r="I683" s="298"/>
      <c r="J683" s="511" t="s">
        <v>1823</v>
      </c>
      <c r="K683" s="511"/>
      <c r="L683" s="291">
        <f>ROUNDDOWN(2700*40*0.012*80%,0)</f>
        <v>1036</v>
      </c>
      <c r="M683" s="315">
        <v>1036</v>
      </c>
      <c r="N683" s="316">
        <v>0</v>
      </c>
      <c r="O683" s="316">
        <f t="shared" si="15"/>
        <v>1036</v>
      </c>
      <c r="P683" s="290"/>
      <c r="Q683" s="316"/>
    </row>
    <row r="684" spans="1:17" s="82" customFormat="1" ht="24.95" customHeight="1">
      <c r="A684" s="284"/>
      <c r="B684" s="285"/>
      <c r="C684" s="285"/>
      <c r="D684" s="304"/>
      <c r="E684" s="292"/>
      <c r="F684" s="293"/>
      <c r="G684" s="510" t="s">
        <v>901</v>
      </c>
      <c r="H684" s="510"/>
      <c r="I684" s="510"/>
      <c r="J684" s="296"/>
      <c r="K684" s="296"/>
      <c r="L684" s="291"/>
      <c r="M684" s="315"/>
      <c r="N684" s="316"/>
      <c r="O684" s="316"/>
      <c r="P684" s="290"/>
      <c r="Q684" s="316"/>
    </row>
    <row r="685" spans="1:17" s="82" customFormat="1" ht="24.95" customHeight="1">
      <c r="A685" s="284"/>
      <c r="B685" s="285"/>
      <c r="C685" s="285"/>
      <c r="D685" s="304"/>
      <c r="E685" s="509" t="s">
        <v>1824</v>
      </c>
      <c r="F685" s="510"/>
      <c r="G685" s="510"/>
      <c r="H685" s="510"/>
      <c r="I685" s="510"/>
      <c r="J685" s="511"/>
      <c r="K685" s="511"/>
      <c r="L685" s="291"/>
      <c r="M685" s="315"/>
      <c r="N685" s="316"/>
      <c r="O685" s="316"/>
      <c r="P685" s="290"/>
      <c r="Q685" s="316"/>
    </row>
    <row r="686" spans="1:17" s="82" customFormat="1" ht="24.95" customHeight="1">
      <c r="A686" s="284"/>
      <c r="B686" s="285"/>
      <c r="C686" s="285"/>
      <c r="D686" s="304"/>
      <c r="E686" s="509"/>
      <c r="F686" s="510"/>
      <c r="G686" s="510"/>
      <c r="H686" s="510"/>
      <c r="I686" s="510"/>
      <c r="J686" s="511" t="s">
        <v>1069</v>
      </c>
      <c r="K686" s="511"/>
      <c r="L686" s="291">
        <f>ROUNDDOWN(3400*60*0.012,0)</f>
        <v>2448</v>
      </c>
      <c r="M686" s="315">
        <f>+L686</f>
        <v>2448</v>
      </c>
      <c r="N686" s="316">
        <v>2448</v>
      </c>
      <c r="O686" s="316">
        <f t="shared" si="15"/>
        <v>0</v>
      </c>
      <c r="P686" s="290"/>
      <c r="Q686" s="316"/>
    </row>
    <row r="687" spans="1:17" s="82" customFormat="1" ht="24.95" customHeight="1">
      <c r="A687" s="284"/>
      <c r="B687" s="285"/>
      <c r="C687" s="285"/>
      <c r="D687" s="304"/>
      <c r="E687" s="509" t="s">
        <v>1825</v>
      </c>
      <c r="F687" s="510"/>
      <c r="G687" s="510"/>
      <c r="H687" s="510"/>
      <c r="I687" s="510"/>
      <c r="J687" s="511"/>
      <c r="K687" s="511"/>
      <c r="L687" s="291"/>
      <c r="M687" s="315"/>
      <c r="N687" s="316"/>
      <c r="O687" s="316"/>
      <c r="P687" s="290"/>
      <c r="Q687" s="316"/>
    </row>
    <row r="688" spans="1:17" s="82" customFormat="1" ht="24.95" customHeight="1">
      <c r="A688" s="284"/>
      <c r="B688" s="285"/>
      <c r="C688" s="285"/>
      <c r="D688" s="304"/>
      <c r="E688" s="509"/>
      <c r="F688" s="510"/>
      <c r="G688" s="510"/>
      <c r="H688" s="510"/>
      <c r="I688" s="510"/>
      <c r="J688" s="511" t="s">
        <v>1070</v>
      </c>
      <c r="K688" s="511"/>
      <c r="L688" s="291">
        <f>ROUNDDOWN(3700*80*0.012,0)</f>
        <v>3552</v>
      </c>
      <c r="M688" s="315">
        <f>+L688</f>
        <v>3552</v>
      </c>
      <c r="N688" s="316">
        <v>3552</v>
      </c>
      <c r="O688" s="316">
        <f t="shared" si="15"/>
        <v>0</v>
      </c>
      <c r="P688" s="290"/>
      <c r="Q688" s="316"/>
    </row>
    <row r="689" spans="1:17" s="82" customFormat="1" ht="24.95" customHeight="1">
      <c r="A689" s="284"/>
      <c r="B689" s="285"/>
      <c r="C689" s="285"/>
      <c r="D689" s="304"/>
      <c r="E689" s="292"/>
      <c r="F689" s="293"/>
      <c r="G689" s="510" t="s">
        <v>902</v>
      </c>
      <c r="H689" s="510"/>
      <c r="I689" s="510"/>
      <c r="J689" s="296"/>
      <c r="K689" s="296"/>
      <c r="L689" s="291"/>
      <c r="M689" s="315"/>
      <c r="N689" s="316"/>
      <c r="O689" s="316"/>
      <c r="P689" s="290"/>
      <c r="Q689" s="316"/>
    </row>
    <row r="690" spans="1:17" s="82" customFormat="1" ht="24.95" customHeight="1">
      <c r="A690" s="284"/>
      <c r="B690" s="285"/>
      <c r="C690" s="285"/>
      <c r="D690" s="304"/>
      <c r="E690" s="509" t="s">
        <v>1824</v>
      </c>
      <c r="F690" s="510"/>
      <c r="G690" s="510"/>
      <c r="H690" s="510"/>
      <c r="I690" s="510"/>
      <c r="J690" s="511"/>
      <c r="K690" s="511"/>
      <c r="L690" s="291"/>
      <c r="M690" s="315"/>
      <c r="N690" s="316"/>
      <c r="O690" s="316"/>
      <c r="P690" s="290"/>
      <c r="Q690" s="316"/>
    </row>
    <row r="691" spans="1:17" s="82" customFormat="1" ht="24.95" customHeight="1">
      <c r="A691" s="284"/>
      <c r="B691" s="285"/>
      <c r="C691" s="285"/>
      <c r="D691" s="304"/>
      <c r="E691" s="509"/>
      <c r="F691" s="510"/>
      <c r="G691" s="510"/>
      <c r="H691" s="510"/>
      <c r="I691" s="510"/>
      <c r="J691" s="511" t="s">
        <v>1071</v>
      </c>
      <c r="K691" s="511"/>
      <c r="L691" s="291">
        <f>ROUNDDOWN(2800*400*0.012,0)</f>
        <v>13440</v>
      </c>
      <c r="M691" s="315">
        <f>+L691</f>
        <v>13440</v>
      </c>
      <c r="N691" s="316">
        <v>13440</v>
      </c>
      <c r="O691" s="316">
        <f t="shared" si="15"/>
        <v>0</v>
      </c>
      <c r="P691" s="290"/>
      <c r="Q691" s="316"/>
    </row>
    <row r="692" spans="1:17" s="82" customFormat="1" ht="24.95" customHeight="1">
      <c r="A692" s="284"/>
      <c r="B692" s="285"/>
      <c r="C692" s="285"/>
      <c r="D692" s="304"/>
      <c r="E692" s="509" t="s">
        <v>1825</v>
      </c>
      <c r="F692" s="510"/>
      <c r="G692" s="510"/>
      <c r="H692" s="510"/>
      <c r="I692" s="510"/>
      <c r="J692" s="511"/>
      <c r="K692" s="511"/>
      <c r="L692" s="291"/>
      <c r="M692" s="315"/>
      <c r="N692" s="316"/>
      <c r="O692" s="316"/>
      <c r="P692" s="290"/>
      <c r="Q692" s="316"/>
    </row>
    <row r="693" spans="1:17" s="82" customFormat="1" ht="24.95" customHeight="1">
      <c r="A693" s="284"/>
      <c r="B693" s="285"/>
      <c r="C693" s="285"/>
      <c r="D693" s="304"/>
      <c r="E693" s="509"/>
      <c r="F693" s="510"/>
      <c r="G693" s="510"/>
      <c r="H693" s="510"/>
      <c r="I693" s="510"/>
      <c r="J693" s="511" t="s">
        <v>1068</v>
      </c>
      <c r="K693" s="511"/>
      <c r="L693" s="291">
        <f>ROUNDDOWN(3000*400*0.012,0)</f>
        <v>14400</v>
      </c>
      <c r="M693" s="315">
        <f>+L693</f>
        <v>14400</v>
      </c>
      <c r="N693" s="316">
        <v>14400</v>
      </c>
      <c r="O693" s="316">
        <f t="shared" si="15"/>
        <v>0</v>
      </c>
      <c r="P693" s="290"/>
      <c r="Q693" s="316"/>
    </row>
    <row r="694" spans="1:17" s="82" customFormat="1" ht="24.95" customHeight="1">
      <c r="A694" s="284"/>
      <c r="B694" s="285"/>
      <c r="C694" s="285"/>
      <c r="D694" s="304"/>
      <c r="E694" s="292"/>
      <c r="F694" s="293"/>
      <c r="G694" s="510" t="s">
        <v>903</v>
      </c>
      <c r="H694" s="510"/>
      <c r="I694" s="510"/>
      <c r="J694" s="296"/>
      <c r="K694" s="296"/>
      <c r="L694" s="291"/>
      <c r="M694" s="315"/>
      <c r="N694" s="316"/>
      <c r="O694" s="316"/>
      <c r="P694" s="290"/>
      <c r="Q694" s="316"/>
    </row>
    <row r="695" spans="1:17" s="82" customFormat="1" ht="24.95" customHeight="1">
      <c r="A695" s="284"/>
      <c r="B695" s="285"/>
      <c r="C695" s="285"/>
      <c r="D695" s="304"/>
      <c r="E695" s="509" t="s">
        <v>1824</v>
      </c>
      <c r="F695" s="510"/>
      <c r="G695" s="510"/>
      <c r="H695" s="510"/>
      <c r="I695" s="510"/>
      <c r="J695" s="511"/>
      <c r="K695" s="511"/>
      <c r="L695" s="291"/>
      <c r="M695" s="315"/>
      <c r="N695" s="316"/>
      <c r="O695" s="316"/>
      <c r="P695" s="290"/>
      <c r="Q695" s="316"/>
    </row>
    <row r="696" spans="1:17" s="82" customFormat="1" ht="24.95" customHeight="1">
      <c r="A696" s="284"/>
      <c r="B696" s="285"/>
      <c r="C696" s="285"/>
      <c r="D696" s="304"/>
      <c r="E696" s="509"/>
      <c r="F696" s="510"/>
      <c r="G696" s="510"/>
      <c r="H696" s="510"/>
      <c r="I696" s="510"/>
      <c r="J696" s="511" t="s">
        <v>1072</v>
      </c>
      <c r="K696" s="511"/>
      <c r="L696" s="291">
        <f>ROUNDDOWN(2300*800*0.012,0)</f>
        <v>22080</v>
      </c>
      <c r="M696" s="315">
        <f>+L696</f>
        <v>22080</v>
      </c>
      <c r="N696" s="316">
        <v>22080</v>
      </c>
      <c r="O696" s="316">
        <f t="shared" si="15"/>
        <v>0</v>
      </c>
      <c r="P696" s="290"/>
      <c r="Q696" s="316"/>
    </row>
    <row r="697" spans="1:17" s="82" customFormat="1" ht="24.95" customHeight="1">
      <c r="A697" s="284"/>
      <c r="B697" s="285"/>
      <c r="C697" s="285"/>
      <c r="D697" s="304"/>
      <c r="E697" s="509" t="s">
        <v>1825</v>
      </c>
      <c r="F697" s="510"/>
      <c r="G697" s="510"/>
      <c r="H697" s="510"/>
      <c r="I697" s="510"/>
      <c r="J697" s="511"/>
      <c r="K697" s="511"/>
      <c r="L697" s="291"/>
      <c r="M697" s="315"/>
      <c r="N697" s="316"/>
      <c r="O697" s="316"/>
      <c r="P697" s="290"/>
      <c r="Q697" s="316"/>
    </row>
    <row r="698" spans="1:17" s="82" customFormat="1" ht="24.95" customHeight="1">
      <c r="A698" s="284"/>
      <c r="B698" s="285"/>
      <c r="C698" s="285"/>
      <c r="D698" s="304"/>
      <c r="E698" s="509"/>
      <c r="F698" s="510"/>
      <c r="G698" s="510"/>
      <c r="H698" s="510"/>
      <c r="I698" s="510"/>
      <c r="J698" s="511" t="s">
        <v>1073</v>
      </c>
      <c r="K698" s="511"/>
      <c r="L698" s="291">
        <f>ROUNDDOWN(2500*400*0.012,0)</f>
        <v>12000</v>
      </c>
      <c r="M698" s="315">
        <f>+L698</f>
        <v>12000</v>
      </c>
      <c r="N698" s="316">
        <v>12000</v>
      </c>
      <c r="O698" s="316">
        <f t="shared" si="15"/>
        <v>0</v>
      </c>
      <c r="P698" s="290"/>
      <c r="Q698" s="316"/>
    </row>
    <row r="699" spans="1:17" s="82" customFormat="1" ht="24.95" customHeight="1">
      <c r="A699" s="284"/>
      <c r="B699" s="285"/>
      <c r="C699" s="285"/>
      <c r="D699" s="304"/>
      <c r="E699" s="509" t="s">
        <v>970</v>
      </c>
      <c r="F699" s="510"/>
      <c r="G699" s="510"/>
      <c r="H699" s="510"/>
      <c r="I699" s="510"/>
      <c r="J699" s="511"/>
      <c r="K699" s="511"/>
      <c r="L699" s="291"/>
      <c r="M699" s="315"/>
      <c r="N699" s="316"/>
      <c r="O699" s="316"/>
      <c r="P699" s="290"/>
      <c r="Q699" s="316"/>
    </row>
    <row r="700" spans="1:17" s="82" customFormat="1" ht="24.95" customHeight="1">
      <c r="A700" s="284"/>
      <c r="B700" s="285"/>
      <c r="C700" s="285"/>
      <c r="D700" s="304"/>
      <c r="E700" s="292"/>
      <c r="F700" s="293"/>
      <c r="G700" s="510" t="s">
        <v>1826</v>
      </c>
      <c r="H700" s="510"/>
      <c r="I700" s="510"/>
      <c r="J700" s="296"/>
      <c r="K700" s="296"/>
      <c r="L700" s="291"/>
      <c r="M700" s="315"/>
      <c r="N700" s="316"/>
      <c r="O700" s="316"/>
      <c r="P700" s="290"/>
      <c r="Q700" s="316"/>
    </row>
    <row r="701" spans="1:17" s="82" customFormat="1" ht="24.95" customHeight="1">
      <c r="A701" s="284"/>
      <c r="B701" s="285"/>
      <c r="C701" s="285"/>
      <c r="D701" s="304"/>
      <c r="E701" s="292"/>
      <c r="F701" s="293"/>
      <c r="G701" s="293"/>
      <c r="H701" s="298"/>
      <c r="I701" s="298"/>
      <c r="J701" s="511" t="s">
        <v>1827</v>
      </c>
      <c r="K701" s="511"/>
      <c r="L701" s="291">
        <f>ROUNDDOWN(66000*6*3*0.012,0)</f>
        <v>14256</v>
      </c>
      <c r="M701" s="315">
        <f>+L701</f>
        <v>14256</v>
      </c>
      <c r="N701" s="316">
        <v>19008</v>
      </c>
      <c r="O701" s="316">
        <f t="shared" si="15"/>
        <v>-4752</v>
      </c>
      <c r="P701" s="290"/>
      <c r="Q701" s="316" t="s">
        <v>1479</v>
      </c>
    </row>
    <row r="702" spans="1:17" s="82" customFormat="1" ht="24.95" customHeight="1">
      <c r="A702" s="284"/>
      <c r="B702" s="285"/>
      <c r="C702" s="285"/>
      <c r="D702" s="304"/>
      <c r="E702" s="294"/>
      <c r="F702" s="295"/>
      <c r="G702" s="510" t="s">
        <v>1925</v>
      </c>
      <c r="H702" s="510"/>
      <c r="I702" s="510"/>
      <c r="J702" s="296"/>
      <c r="K702" s="296"/>
      <c r="L702" s="291"/>
      <c r="M702" s="315"/>
      <c r="N702" s="316"/>
      <c r="O702" s="316"/>
      <c r="P702" s="290"/>
      <c r="Q702" s="316"/>
    </row>
    <row r="703" spans="1:17" s="82" customFormat="1" ht="24.95" customHeight="1">
      <c r="A703" s="284"/>
      <c r="B703" s="285"/>
      <c r="C703" s="285"/>
      <c r="D703" s="304"/>
      <c r="E703" s="292"/>
      <c r="F703" s="293"/>
      <c r="G703" s="293"/>
      <c r="H703" s="293"/>
      <c r="I703" s="511" t="s">
        <v>1828</v>
      </c>
      <c r="J703" s="522"/>
      <c r="K703" s="522"/>
      <c r="L703" s="291">
        <f>ROUNDDOWN(66000*2*3*0.012*80%,0)</f>
        <v>3801</v>
      </c>
      <c r="M703" s="315">
        <f>+(L703)</f>
        <v>3801</v>
      </c>
      <c r="N703" s="316">
        <v>0</v>
      </c>
      <c r="O703" s="316">
        <f t="shared" si="15"/>
        <v>3801</v>
      </c>
      <c r="P703" s="290"/>
      <c r="Q703" s="316"/>
    </row>
    <row r="704" spans="1:17" s="82" customFormat="1" ht="24.95" customHeight="1">
      <c r="A704" s="284"/>
      <c r="B704" s="285"/>
      <c r="C704" s="285"/>
      <c r="D704" s="304"/>
      <c r="E704" s="300"/>
      <c r="F704" s="307"/>
      <c r="G704" s="510" t="s">
        <v>1074</v>
      </c>
      <c r="H704" s="510"/>
      <c r="I704" s="510"/>
      <c r="J704" s="307"/>
      <c r="K704" s="307"/>
      <c r="L704" s="291"/>
      <c r="M704" s="315"/>
      <c r="N704" s="316"/>
      <c r="O704" s="316"/>
      <c r="P704" s="290"/>
      <c r="Q704" s="316"/>
    </row>
    <row r="705" spans="1:17" s="82" customFormat="1" ht="24.95" customHeight="1">
      <c r="A705" s="284"/>
      <c r="B705" s="285"/>
      <c r="C705" s="285"/>
      <c r="D705" s="304"/>
      <c r="E705" s="292"/>
      <c r="F705" s="293"/>
      <c r="G705" s="293"/>
      <c r="H705" s="298"/>
      <c r="I705" s="511" t="s">
        <v>1829</v>
      </c>
      <c r="J705" s="519"/>
      <c r="K705" s="519"/>
      <c r="L705" s="291">
        <f>ROUNDDOWN(49000*8*18*0.012,0)</f>
        <v>84672</v>
      </c>
      <c r="M705" s="315">
        <f>+L705</f>
        <v>84672</v>
      </c>
      <c r="N705" s="316">
        <v>105840</v>
      </c>
      <c r="O705" s="316">
        <f t="shared" si="15"/>
        <v>-21168</v>
      </c>
      <c r="P705" s="290"/>
      <c r="Q705" s="316" t="s">
        <v>1479</v>
      </c>
    </row>
    <row r="706" spans="1:17" s="82" customFormat="1" ht="24.95" customHeight="1">
      <c r="A706" s="284"/>
      <c r="B706" s="285"/>
      <c r="C706" s="285"/>
      <c r="D706" s="304"/>
      <c r="E706" s="294"/>
      <c r="F706" s="295"/>
      <c r="G706" s="510" t="s">
        <v>1926</v>
      </c>
      <c r="H706" s="510"/>
      <c r="I706" s="510"/>
      <c r="J706" s="296"/>
      <c r="K706" s="296"/>
      <c r="L706" s="291"/>
      <c r="M706" s="315"/>
      <c r="N706" s="316"/>
      <c r="O706" s="316"/>
      <c r="P706" s="290"/>
      <c r="Q706" s="316"/>
    </row>
    <row r="707" spans="1:17" s="82" customFormat="1" ht="24.95" customHeight="1">
      <c r="A707" s="284"/>
      <c r="B707" s="285"/>
      <c r="C707" s="285"/>
      <c r="D707" s="304"/>
      <c r="E707" s="300"/>
      <c r="F707" s="307"/>
      <c r="G707" s="307"/>
      <c r="H707" s="307"/>
      <c r="I707" s="511" t="s">
        <v>1830</v>
      </c>
      <c r="J707" s="522"/>
      <c r="K707" s="522"/>
      <c r="L707" s="291">
        <f>ROUNDDOWN(49000*2*18*0.012*80%,0)</f>
        <v>16934</v>
      </c>
      <c r="M707" s="315">
        <f>+(L707)</f>
        <v>16934</v>
      </c>
      <c r="N707" s="316">
        <v>0</v>
      </c>
      <c r="O707" s="316">
        <f t="shared" si="15"/>
        <v>16934</v>
      </c>
      <c r="P707" s="290"/>
      <c r="Q707" s="316"/>
    </row>
    <row r="708" spans="1:17" s="82" customFormat="1" ht="24.95" customHeight="1">
      <c r="A708" s="284"/>
      <c r="B708" s="285"/>
      <c r="C708" s="285"/>
      <c r="D708" s="304"/>
      <c r="E708" s="300"/>
      <c r="F708" s="307"/>
      <c r="G708" s="510" t="s">
        <v>1075</v>
      </c>
      <c r="H708" s="510"/>
      <c r="I708" s="510"/>
      <c r="J708" s="296"/>
      <c r="K708" s="296"/>
      <c r="L708" s="291"/>
      <c r="M708" s="315"/>
      <c r="N708" s="316"/>
      <c r="O708" s="316"/>
      <c r="P708" s="290"/>
      <c r="Q708" s="316"/>
    </row>
    <row r="709" spans="1:17" s="82" customFormat="1" ht="24.95" customHeight="1">
      <c r="A709" s="284"/>
      <c r="B709" s="285"/>
      <c r="C709" s="285"/>
      <c r="D709" s="304"/>
      <c r="E709" s="292"/>
      <c r="F709" s="293"/>
      <c r="G709" s="293"/>
      <c r="H709" s="298"/>
      <c r="I709" s="511" t="s">
        <v>1831</v>
      </c>
      <c r="J709" s="519"/>
      <c r="K709" s="519"/>
      <c r="L709" s="291">
        <f>ROUNDDOWN(44000*7*5*0.012,0)</f>
        <v>18480</v>
      </c>
      <c r="M709" s="315">
        <f>+L709</f>
        <v>18480</v>
      </c>
      <c r="N709" s="316">
        <v>21120</v>
      </c>
      <c r="O709" s="316">
        <f t="shared" si="15"/>
        <v>-2640</v>
      </c>
      <c r="P709" s="290"/>
      <c r="Q709" s="316" t="s">
        <v>1479</v>
      </c>
    </row>
    <row r="710" spans="1:17" s="82" customFormat="1" ht="24.95" customHeight="1">
      <c r="A710" s="284"/>
      <c r="B710" s="285"/>
      <c r="C710" s="285"/>
      <c r="D710" s="304"/>
      <c r="E710" s="294" t="s">
        <v>1927</v>
      </c>
      <c r="F710" s="295"/>
      <c r="G710" s="510" t="s">
        <v>1928</v>
      </c>
      <c r="H710" s="510"/>
      <c r="I710" s="510"/>
      <c r="J710" s="296"/>
      <c r="K710" s="296"/>
      <c r="L710" s="291"/>
      <c r="M710" s="315"/>
      <c r="N710" s="316"/>
      <c r="O710" s="316"/>
      <c r="P710" s="290"/>
      <c r="Q710" s="316"/>
    </row>
    <row r="711" spans="1:17" s="82" customFormat="1" ht="24.95" customHeight="1">
      <c r="A711" s="284"/>
      <c r="B711" s="285"/>
      <c r="C711" s="285"/>
      <c r="D711" s="304"/>
      <c r="E711" s="292"/>
      <c r="F711" s="293"/>
      <c r="G711" s="293"/>
      <c r="H711" s="293"/>
      <c r="I711" s="511" t="s">
        <v>1832</v>
      </c>
      <c r="J711" s="522"/>
      <c r="K711" s="522"/>
      <c r="L711" s="291">
        <f>ROUNDDOWN(44000*1*5*0.012*80%,0)</f>
        <v>2112</v>
      </c>
      <c r="M711" s="315">
        <f>+(L711)</f>
        <v>2112</v>
      </c>
      <c r="N711" s="316">
        <v>0</v>
      </c>
      <c r="O711" s="316">
        <f t="shared" si="15"/>
        <v>2112</v>
      </c>
      <c r="P711" s="290"/>
      <c r="Q711" s="316"/>
    </row>
    <row r="712" spans="1:17" s="82" customFormat="1" ht="24.95" customHeight="1">
      <c r="A712" s="284"/>
      <c r="B712" s="285"/>
      <c r="C712" s="285"/>
      <c r="D712" s="304"/>
      <c r="E712" s="300"/>
      <c r="F712" s="307"/>
      <c r="G712" s="510" t="s">
        <v>1076</v>
      </c>
      <c r="H712" s="510"/>
      <c r="I712" s="510"/>
      <c r="J712" s="307"/>
      <c r="K712" s="307"/>
      <c r="L712" s="291"/>
      <c r="M712" s="315"/>
      <c r="N712" s="316"/>
      <c r="O712" s="316"/>
      <c r="P712" s="290"/>
      <c r="Q712" s="316"/>
    </row>
    <row r="713" spans="1:17" s="82" customFormat="1" ht="24.95" customHeight="1">
      <c r="A713" s="284"/>
      <c r="B713" s="285"/>
      <c r="C713" s="285"/>
      <c r="D713" s="304"/>
      <c r="E713" s="292"/>
      <c r="F713" s="293"/>
      <c r="G713" s="293"/>
      <c r="H713" s="298"/>
      <c r="I713" s="511" t="s">
        <v>1833</v>
      </c>
      <c r="J713" s="519"/>
      <c r="K713" s="519"/>
      <c r="L713" s="291">
        <f>ROUNDDOWN(54000*8*14*0.012,0)</f>
        <v>72576</v>
      </c>
      <c r="M713" s="315">
        <f>+L713</f>
        <v>72576</v>
      </c>
      <c r="N713" s="316">
        <v>90720</v>
      </c>
      <c r="O713" s="316">
        <f t="shared" ref="O713:O767" si="16">+M713-N713</f>
        <v>-18144</v>
      </c>
      <c r="P713" s="290"/>
      <c r="Q713" s="316" t="s">
        <v>1479</v>
      </c>
    </row>
    <row r="714" spans="1:17" s="82" customFormat="1" ht="24.95" customHeight="1">
      <c r="A714" s="284"/>
      <c r="B714" s="285"/>
      <c r="C714" s="285"/>
      <c r="D714" s="304"/>
      <c r="E714" s="294" t="s">
        <v>1927</v>
      </c>
      <c r="F714" s="295"/>
      <c r="G714" s="510" t="s">
        <v>1929</v>
      </c>
      <c r="H714" s="510"/>
      <c r="I714" s="510"/>
      <c r="J714" s="521"/>
      <c r="K714" s="296"/>
      <c r="L714" s="291"/>
      <c r="M714" s="315"/>
      <c r="N714" s="316"/>
      <c r="O714" s="316"/>
      <c r="P714" s="290"/>
      <c r="Q714" s="316"/>
    </row>
    <row r="715" spans="1:17" s="82" customFormat="1" ht="24.95" customHeight="1">
      <c r="A715" s="284"/>
      <c r="B715" s="285"/>
      <c r="C715" s="285"/>
      <c r="D715" s="304"/>
      <c r="E715" s="292"/>
      <c r="F715" s="293"/>
      <c r="G715" s="293"/>
      <c r="H715" s="293"/>
      <c r="I715" s="511" t="s">
        <v>1834</v>
      </c>
      <c r="J715" s="522"/>
      <c r="K715" s="522"/>
      <c r="L715" s="291">
        <f>ROUNDDOWN(54000*2*14*0.012*80%,0)</f>
        <v>14515</v>
      </c>
      <c r="M715" s="315">
        <f>+L715</f>
        <v>14515</v>
      </c>
      <c r="N715" s="316">
        <v>0</v>
      </c>
      <c r="O715" s="316">
        <f t="shared" si="16"/>
        <v>14515</v>
      </c>
      <c r="P715" s="290"/>
      <c r="Q715" s="316"/>
    </row>
    <row r="716" spans="1:17" s="82" customFormat="1" ht="24.95" customHeight="1">
      <c r="A716" s="284"/>
      <c r="B716" s="285"/>
      <c r="C716" s="285"/>
      <c r="D716" s="304"/>
      <c r="E716" s="292"/>
      <c r="F716" s="293"/>
      <c r="G716" s="510" t="s">
        <v>1077</v>
      </c>
      <c r="H716" s="510"/>
      <c r="I716" s="510"/>
      <c r="J716" s="296"/>
      <c r="K716" s="296"/>
      <c r="L716" s="291"/>
      <c r="M716" s="315"/>
      <c r="N716" s="316"/>
      <c r="O716" s="316"/>
      <c r="P716" s="290"/>
      <c r="Q716" s="316"/>
    </row>
    <row r="717" spans="1:17" s="82" customFormat="1" ht="24.95" customHeight="1">
      <c r="A717" s="284"/>
      <c r="B717" s="285"/>
      <c r="C717" s="285"/>
      <c r="D717" s="304"/>
      <c r="E717" s="292"/>
      <c r="F717" s="293"/>
      <c r="G717" s="293"/>
      <c r="H717" s="298"/>
      <c r="I717" s="511" t="s">
        <v>1835</v>
      </c>
      <c r="J717" s="519"/>
      <c r="K717" s="519"/>
      <c r="L717" s="291">
        <f>ROUNDDOWN(49000*7*2*0.012,0)</f>
        <v>8232</v>
      </c>
      <c r="M717" s="315">
        <f>+L717</f>
        <v>8232</v>
      </c>
      <c r="N717" s="316">
        <v>9408</v>
      </c>
      <c r="O717" s="316">
        <f t="shared" si="16"/>
        <v>-1176</v>
      </c>
      <c r="P717" s="290"/>
      <c r="Q717" s="316" t="s">
        <v>1479</v>
      </c>
    </row>
    <row r="718" spans="1:17" s="82" customFormat="1" ht="24.95" customHeight="1">
      <c r="A718" s="284"/>
      <c r="B718" s="285"/>
      <c r="C718" s="285"/>
      <c r="D718" s="304"/>
      <c r="E718" s="294"/>
      <c r="F718" s="295"/>
      <c r="G718" s="510" t="s">
        <v>1930</v>
      </c>
      <c r="H718" s="510"/>
      <c r="I718" s="510"/>
      <c r="J718" s="296"/>
      <c r="K718" s="296"/>
      <c r="L718" s="291"/>
      <c r="M718" s="315"/>
      <c r="N718" s="316"/>
      <c r="O718" s="316"/>
      <c r="P718" s="290"/>
      <c r="Q718" s="316"/>
    </row>
    <row r="719" spans="1:17" s="82" customFormat="1" ht="24.95" customHeight="1">
      <c r="A719" s="284"/>
      <c r="B719" s="285"/>
      <c r="C719" s="285"/>
      <c r="D719" s="304"/>
      <c r="E719" s="292"/>
      <c r="F719" s="293"/>
      <c r="G719" s="293"/>
      <c r="H719" s="293"/>
      <c r="I719" s="511" t="s">
        <v>1836</v>
      </c>
      <c r="J719" s="522"/>
      <c r="K719" s="522"/>
      <c r="L719" s="291">
        <f>ROUNDDOWN(49000*1*2*0.012*80%,0)</f>
        <v>940</v>
      </c>
      <c r="M719" s="315">
        <f>+(L719)</f>
        <v>940</v>
      </c>
      <c r="N719" s="316">
        <v>0</v>
      </c>
      <c r="O719" s="316">
        <f t="shared" si="16"/>
        <v>940</v>
      </c>
      <c r="P719" s="290"/>
      <c r="Q719" s="316"/>
    </row>
    <row r="720" spans="1:17" s="82" customFormat="1" ht="24.95" customHeight="1">
      <c r="A720" s="284"/>
      <c r="B720" s="285"/>
      <c r="C720" s="285"/>
      <c r="D720" s="304"/>
      <c r="E720" s="292"/>
      <c r="F720" s="293"/>
      <c r="G720" s="510" t="s">
        <v>1078</v>
      </c>
      <c r="H720" s="510"/>
      <c r="I720" s="510"/>
      <c r="J720" s="296"/>
      <c r="K720" s="296"/>
      <c r="L720" s="291"/>
      <c r="M720" s="315"/>
      <c r="N720" s="316"/>
      <c r="O720" s="316"/>
      <c r="P720" s="290"/>
      <c r="Q720" s="316"/>
    </row>
    <row r="721" spans="1:17" s="82" customFormat="1" ht="24.95" customHeight="1">
      <c r="A721" s="284"/>
      <c r="B721" s="285"/>
      <c r="C721" s="285"/>
      <c r="D721" s="304"/>
      <c r="E721" s="516" t="s">
        <v>1079</v>
      </c>
      <c r="F721" s="518"/>
      <c r="G721" s="518"/>
      <c r="H721" s="518"/>
      <c r="I721" s="518"/>
      <c r="J721" s="518"/>
      <c r="K721" s="518"/>
      <c r="L721" s="291">
        <f>ROUNDDOWN(49000*10*8*0.002,0)</f>
        <v>7840</v>
      </c>
      <c r="M721" s="315">
        <f>+L721</f>
        <v>7840</v>
      </c>
      <c r="N721" s="316">
        <v>7840</v>
      </c>
      <c r="O721" s="316">
        <f t="shared" si="16"/>
        <v>0</v>
      </c>
      <c r="P721" s="290"/>
      <c r="Q721" s="316"/>
    </row>
    <row r="722" spans="1:17" s="82" customFormat="1" ht="24.95" customHeight="1">
      <c r="A722" s="284"/>
      <c r="B722" s="285"/>
      <c r="C722" s="285"/>
      <c r="D722" s="304"/>
      <c r="E722" s="292"/>
      <c r="F722" s="293"/>
      <c r="G722" s="510" t="s">
        <v>1080</v>
      </c>
      <c r="H722" s="510"/>
      <c r="I722" s="510"/>
      <c r="J722" s="296"/>
      <c r="K722" s="296"/>
      <c r="L722" s="291"/>
      <c r="M722" s="315"/>
      <c r="N722" s="316"/>
      <c r="O722" s="316"/>
      <c r="P722" s="290"/>
      <c r="Q722" s="316"/>
    </row>
    <row r="723" spans="1:17" s="82" customFormat="1" ht="24.95" customHeight="1">
      <c r="A723" s="284"/>
      <c r="B723" s="285"/>
      <c r="C723" s="285"/>
      <c r="D723" s="304"/>
      <c r="E723" s="516" t="s">
        <v>1081</v>
      </c>
      <c r="F723" s="518"/>
      <c r="G723" s="518"/>
      <c r="H723" s="518"/>
      <c r="I723" s="518"/>
      <c r="J723" s="518"/>
      <c r="K723" s="518"/>
      <c r="L723" s="291">
        <f>ROUNDDOWN(58800*10*1*0.012,0)</f>
        <v>7056</v>
      </c>
      <c r="M723" s="315">
        <f>+L723</f>
        <v>7056</v>
      </c>
      <c r="N723" s="316">
        <v>7056</v>
      </c>
      <c r="O723" s="316">
        <f t="shared" si="16"/>
        <v>0</v>
      </c>
      <c r="P723" s="290"/>
      <c r="Q723" s="316"/>
    </row>
    <row r="724" spans="1:17" s="82" customFormat="1" ht="24.95" customHeight="1">
      <c r="A724" s="284"/>
      <c r="B724" s="285"/>
      <c r="C724" s="285"/>
      <c r="D724" s="304"/>
      <c r="E724" s="292"/>
      <c r="F724" s="293"/>
      <c r="G724" s="510" t="s">
        <v>1082</v>
      </c>
      <c r="H724" s="510"/>
      <c r="I724" s="510"/>
      <c r="J724" s="296"/>
      <c r="K724" s="296"/>
      <c r="L724" s="291"/>
      <c r="M724" s="315"/>
      <c r="N724" s="316"/>
      <c r="O724" s="316"/>
      <c r="P724" s="290"/>
      <c r="Q724" s="316"/>
    </row>
    <row r="725" spans="1:17" s="82" customFormat="1" ht="24.95" customHeight="1">
      <c r="A725" s="284"/>
      <c r="B725" s="285"/>
      <c r="C725" s="285"/>
      <c r="D725" s="304"/>
      <c r="E725" s="516" t="s">
        <v>1083</v>
      </c>
      <c r="F725" s="518"/>
      <c r="G725" s="518"/>
      <c r="H725" s="518"/>
      <c r="I725" s="518"/>
      <c r="J725" s="518"/>
      <c r="K725" s="518"/>
      <c r="L725" s="291">
        <f>ROUNDDOWN(64800*10*2*0.012,0)</f>
        <v>15552</v>
      </c>
      <c r="M725" s="315">
        <f>+L725</f>
        <v>15552</v>
      </c>
      <c r="N725" s="316">
        <v>15552</v>
      </c>
      <c r="O725" s="316">
        <f t="shared" si="16"/>
        <v>0</v>
      </c>
      <c r="P725" s="290"/>
      <c r="Q725" s="316"/>
    </row>
    <row r="726" spans="1:17" s="82" customFormat="1" ht="24.95" customHeight="1">
      <c r="A726" s="284"/>
      <c r="B726" s="285"/>
      <c r="C726" s="285"/>
      <c r="D726" s="304"/>
      <c r="E726" s="292"/>
      <c r="F726" s="293"/>
      <c r="G726" s="510" t="s">
        <v>971</v>
      </c>
      <c r="H726" s="510"/>
      <c r="I726" s="510"/>
      <c r="J726" s="296"/>
      <c r="K726" s="296"/>
      <c r="L726" s="291"/>
      <c r="M726" s="315"/>
      <c r="N726" s="316"/>
      <c r="O726" s="316"/>
      <c r="P726" s="290"/>
      <c r="Q726" s="316"/>
    </row>
    <row r="727" spans="1:17" s="82" customFormat="1" ht="24.95" customHeight="1">
      <c r="A727" s="284"/>
      <c r="B727" s="285"/>
      <c r="C727" s="285"/>
      <c r="D727" s="304"/>
      <c r="E727" s="509" t="s">
        <v>1837</v>
      </c>
      <c r="F727" s="510"/>
      <c r="G727" s="510"/>
      <c r="H727" s="510"/>
      <c r="I727" s="510"/>
      <c r="J727" s="511"/>
      <c r="K727" s="511"/>
      <c r="L727" s="291"/>
      <c r="M727" s="315"/>
      <c r="N727" s="316"/>
      <c r="O727" s="316"/>
      <c r="P727" s="290"/>
      <c r="Q727" s="316"/>
    </row>
    <row r="728" spans="1:17" s="82" customFormat="1" ht="24.95" customHeight="1">
      <c r="A728" s="284"/>
      <c r="B728" s="285"/>
      <c r="C728" s="285"/>
      <c r="D728" s="304"/>
      <c r="E728" s="516" t="s">
        <v>1084</v>
      </c>
      <c r="F728" s="518"/>
      <c r="G728" s="518"/>
      <c r="H728" s="518"/>
      <c r="I728" s="518"/>
      <c r="J728" s="518"/>
      <c r="K728" s="518"/>
      <c r="L728" s="291">
        <f>ROUNDDOWN(49000*10*10*0.002,0)</f>
        <v>9800</v>
      </c>
      <c r="M728" s="315">
        <f>+L728</f>
        <v>9800</v>
      </c>
      <c r="N728" s="316">
        <v>9800</v>
      </c>
      <c r="O728" s="316">
        <f t="shared" si="16"/>
        <v>0</v>
      </c>
      <c r="P728" s="290"/>
      <c r="Q728" s="316"/>
    </row>
    <row r="729" spans="1:17" s="82" customFormat="1" ht="24.95" customHeight="1">
      <c r="A729" s="284"/>
      <c r="B729" s="285"/>
      <c r="C729" s="285"/>
      <c r="D729" s="304"/>
      <c r="E729" s="509" t="s">
        <v>1838</v>
      </c>
      <c r="F729" s="510"/>
      <c r="G729" s="510"/>
      <c r="H729" s="510"/>
      <c r="I729" s="510"/>
      <c r="J729" s="511"/>
      <c r="K729" s="511"/>
      <c r="L729" s="291"/>
      <c r="M729" s="315"/>
      <c r="N729" s="316"/>
      <c r="O729" s="316"/>
      <c r="P729" s="290"/>
      <c r="Q729" s="316"/>
    </row>
    <row r="730" spans="1:17" s="82" customFormat="1" ht="24.95" customHeight="1">
      <c r="A730" s="284"/>
      <c r="B730" s="285"/>
      <c r="C730" s="285"/>
      <c r="D730" s="304"/>
      <c r="E730" s="516" t="s">
        <v>1085</v>
      </c>
      <c r="F730" s="518"/>
      <c r="G730" s="518"/>
      <c r="H730" s="518"/>
      <c r="I730" s="518"/>
      <c r="J730" s="518"/>
      <c r="K730" s="518"/>
      <c r="L730" s="291">
        <f>ROUNDDOWN(49000*10*15*0.002,0)</f>
        <v>14700</v>
      </c>
      <c r="M730" s="315">
        <f>+L730</f>
        <v>14700</v>
      </c>
      <c r="N730" s="316">
        <v>14700</v>
      </c>
      <c r="O730" s="316">
        <f t="shared" si="16"/>
        <v>0</v>
      </c>
      <c r="P730" s="290"/>
      <c r="Q730" s="316"/>
    </row>
    <row r="731" spans="1:17" s="82" customFormat="1" ht="24.95" customHeight="1">
      <c r="A731" s="284"/>
      <c r="B731" s="285"/>
      <c r="C731" s="285"/>
      <c r="D731" s="304"/>
      <c r="E731" s="300"/>
      <c r="F731" s="307"/>
      <c r="G731" s="295" t="s">
        <v>1839</v>
      </c>
      <c r="H731" s="295"/>
      <c r="I731" s="295"/>
      <c r="J731" s="307"/>
      <c r="K731" s="307"/>
      <c r="L731" s="291"/>
      <c r="M731" s="315"/>
      <c r="N731" s="316"/>
      <c r="O731" s="316"/>
      <c r="P731" s="290"/>
      <c r="Q731" s="316"/>
    </row>
    <row r="732" spans="1:17" s="82" customFormat="1" ht="24.95" customHeight="1">
      <c r="A732" s="284"/>
      <c r="B732" s="285"/>
      <c r="C732" s="285"/>
      <c r="D732" s="304"/>
      <c r="E732" s="300"/>
      <c r="F732" s="307"/>
      <c r="G732" s="307"/>
      <c r="H732" s="307"/>
      <c r="I732" s="511" t="s">
        <v>1840</v>
      </c>
      <c r="J732" s="519"/>
      <c r="K732" s="519"/>
      <c r="L732" s="291">
        <f>ROUNDDOWN(76000*7*1*0.01,0)</f>
        <v>5320</v>
      </c>
      <c r="M732" s="315">
        <f>+L732</f>
        <v>5320</v>
      </c>
      <c r="N732" s="316">
        <v>0</v>
      </c>
      <c r="O732" s="316">
        <f t="shared" si="16"/>
        <v>5320</v>
      </c>
      <c r="P732" s="290"/>
      <c r="Q732" s="316" t="s">
        <v>1841</v>
      </c>
    </row>
    <row r="733" spans="1:17" s="82" customFormat="1" ht="24.95" customHeight="1">
      <c r="A733" s="284"/>
      <c r="B733" s="285"/>
      <c r="C733" s="285"/>
      <c r="D733" s="304"/>
      <c r="E733" s="300"/>
      <c r="F733" s="307"/>
      <c r="G733" s="510" t="s">
        <v>1842</v>
      </c>
      <c r="H733" s="510"/>
      <c r="I733" s="510"/>
      <c r="J733" s="521"/>
      <c r="K733" s="296"/>
      <c r="L733" s="291"/>
      <c r="M733" s="315"/>
      <c r="N733" s="316"/>
      <c r="O733" s="316"/>
      <c r="P733" s="290"/>
      <c r="Q733" s="316"/>
    </row>
    <row r="734" spans="1:17" s="82" customFormat="1" ht="24.95" customHeight="1">
      <c r="A734" s="284"/>
      <c r="B734" s="285"/>
      <c r="C734" s="285"/>
      <c r="D734" s="304"/>
      <c r="E734" s="300"/>
      <c r="F734" s="307"/>
      <c r="G734" s="307"/>
      <c r="H734" s="307"/>
      <c r="I734" s="511" t="s">
        <v>1843</v>
      </c>
      <c r="J734" s="522"/>
      <c r="K734" s="522"/>
      <c r="L734" s="291">
        <f>ROUNDDOWN(76000*1*1*0.01*80%,0)</f>
        <v>608</v>
      </c>
      <c r="M734" s="315">
        <f>+L734</f>
        <v>608</v>
      </c>
      <c r="N734" s="316">
        <v>0</v>
      </c>
      <c r="O734" s="316">
        <f t="shared" si="16"/>
        <v>608</v>
      </c>
      <c r="P734" s="290"/>
      <c r="Q734" s="316"/>
    </row>
    <row r="735" spans="1:17" s="82" customFormat="1" ht="24.95" customHeight="1">
      <c r="A735" s="284"/>
      <c r="B735" s="285"/>
      <c r="C735" s="285"/>
      <c r="D735" s="304"/>
      <c r="E735" s="509" t="s">
        <v>1086</v>
      </c>
      <c r="F735" s="510"/>
      <c r="G735" s="510"/>
      <c r="H735" s="510"/>
      <c r="I735" s="510"/>
      <c r="J735" s="511"/>
      <c r="K735" s="511"/>
      <c r="L735" s="291"/>
      <c r="M735" s="315"/>
      <c r="N735" s="316"/>
      <c r="O735" s="316"/>
      <c r="P735" s="290"/>
      <c r="Q735" s="316"/>
    </row>
    <row r="736" spans="1:17" s="82" customFormat="1" ht="24.95" customHeight="1">
      <c r="A736" s="284"/>
      <c r="B736" s="285"/>
      <c r="C736" s="285"/>
      <c r="D736" s="304"/>
      <c r="E736" s="292"/>
      <c r="F736" s="293"/>
      <c r="G736" s="510" t="s">
        <v>1087</v>
      </c>
      <c r="H736" s="510"/>
      <c r="I736" s="510"/>
      <c r="J736" s="296"/>
      <c r="K736" s="296"/>
      <c r="L736" s="291"/>
      <c r="M736" s="315"/>
      <c r="N736" s="316"/>
      <c r="O736" s="316"/>
      <c r="P736" s="290"/>
      <c r="Q736" s="316"/>
    </row>
    <row r="737" spans="1:17" s="82" customFormat="1" ht="24.95" customHeight="1">
      <c r="A737" s="284"/>
      <c r="B737" s="285"/>
      <c r="C737" s="285"/>
      <c r="D737" s="304"/>
      <c r="E737" s="292"/>
      <c r="F737" s="293"/>
      <c r="G737" s="510"/>
      <c r="H737" s="510"/>
      <c r="I737" s="510"/>
      <c r="J737" s="511" t="s">
        <v>1088</v>
      </c>
      <c r="K737" s="511"/>
      <c r="L737" s="291">
        <f>ROUNDDOWN(66000*5*0.012,0)</f>
        <v>3960</v>
      </c>
      <c r="M737" s="315">
        <f>+L737</f>
        <v>3960</v>
      </c>
      <c r="N737" s="316">
        <v>3960</v>
      </c>
      <c r="O737" s="316">
        <f t="shared" si="16"/>
        <v>0</v>
      </c>
      <c r="P737" s="290"/>
      <c r="Q737" s="316"/>
    </row>
    <row r="738" spans="1:17" s="82" customFormat="1" ht="24.95" customHeight="1">
      <c r="A738" s="284"/>
      <c r="B738" s="285"/>
      <c r="C738" s="285"/>
      <c r="D738" s="304"/>
      <c r="E738" s="300"/>
      <c r="F738" s="307"/>
      <c r="G738" s="510" t="s">
        <v>902</v>
      </c>
      <c r="H738" s="510"/>
      <c r="I738" s="510"/>
      <c r="J738" s="307"/>
      <c r="K738" s="307"/>
      <c r="L738" s="291"/>
      <c r="M738" s="315"/>
      <c r="N738" s="316"/>
      <c r="O738" s="316"/>
      <c r="P738" s="290"/>
      <c r="Q738" s="316"/>
    </row>
    <row r="739" spans="1:17" s="82" customFormat="1" ht="24.95" customHeight="1">
      <c r="A739" s="284"/>
      <c r="B739" s="285"/>
      <c r="C739" s="285"/>
      <c r="D739" s="304"/>
      <c r="E739" s="292"/>
      <c r="F739" s="293"/>
      <c r="G739" s="293"/>
      <c r="H739" s="298"/>
      <c r="I739" s="298"/>
      <c r="J739" s="511" t="s">
        <v>1844</v>
      </c>
      <c r="K739" s="511"/>
      <c r="L739" s="291">
        <f>ROUNDDOWN(57000*15*0.012,0)</f>
        <v>10260</v>
      </c>
      <c r="M739" s="315">
        <f>+L739</f>
        <v>10260</v>
      </c>
      <c r="N739" s="316">
        <v>10944</v>
      </c>
      <c r="O739" s="316">
        <f t="shared" si="16"/>
        <v>-684</v>
      </c>
      <c r="P739" s="290"/>
      <c r="Q739" s="316" t="s">
        <v>1479</v>
      </c>
    </row>
    <row r="740" spans="1:17" s="82" customFormat="1" ht="24.95" customHeight="1">
      <c r="A740" s="284"/>
      <c r="B740" s="285"/>
      <c r="C740" s="285"/>
      <c r="D740" s="304"/>
      <c r="E740" s="294"/>
      <c r="F740" s="295"/>
      <c r="G740" s="510" t="s">
        <v>1484</v>
      </c>
      <c r="H740" s="510"/>
      <c r="I740" s="510"/>
      <c r="J740" s="296"/>
      <c r="K740" s="296"/>
      <c r="L740" s="291"/>
      <c r="M740" s="315"/>
      <c r="N740" s="316"/>
      <c r="O740" s="316"/>
      <c r="P740" s="290"/>
      <c r="Q740" s="316"/>
    </row>
    <row r="741" spans="1:17" s="82" customFormat="1" ht="24.95" customHeight="1">
      <c r="A741" s="284"/>
      <c r="B741" s="285"/>
      <c r="C741" s="285"/>
      <c r="D741" s="304"/>
      <c r="E741" s="292"/>
      <c r="F741" s="293"/>
      <c r="G741" s="293"/>
      <c r="H741" s="293"/>
      <c r="I741" s="298"/>
      <c r="J741" s="511" t="s">
        <v>1845</v>
      </c>
      <c r="K741" s="511"/>
      <c r="L741" s="291">
        <f>ROUNDDOWN(57000*1*0.012*80%,0)</f>
        <v>547</v>
      </c>
      <c r="M741" s="315">
        <f>+L741</f>
        <v>547</v>
      </c>
      <c r="N741" s="316">
        <v>0</v>
      </c>
      <c r="O741" s="316">
        <f t="shared" si="16"/>
        <v>547</v>
      </c>
      <c r="P741" s="290"/>
      <c r="Q741" s="316"/>
    </row>
    <row r="742" spans="1:17" s="82" customFormat="1" ht="24.95" customHeight="1">
      <c r="A742" s="284"/>
      <c r="B742" s="285"/>
      <c r="C742" s="285"/>
      <c r="D742" s="304"/>
      <c r="E742" s="292"/>
      <c r="F742" s="293"/>
      <c r="G742" s="510" t="s">
        <v>903</v>
      </c>
      <c r="H742" s="510"/>
      <c r="I742" s="510"/>
      <c r="J742" s="296"/>
      <c r="K742" s="296"/>
      <c r="L742" s="291"/>
      <c r="M742" s="315"/>
      <c r="N742" s="316"/>
      <c r="O742" s="316"/>
      <c r="P742" s="290"/>
      <c r="Q742" s="316"/>
    </row>
    <row r="743" spans="1:17" s="82" customFormat="1" ht="24.95" customHeight="1">
      <c r="A743" s="284"/>
      <c r="B743" s="285"/>
      <c r="C743" s="285"/>
      <c r="D743" s="304"/>
      <c r="E743" s="292"/>
      <c r="F743" s="293"/>
      <c r="G743" s="293"/>
      <c r="H743" s="298"/>
      <c r="I743" s="298"/>
      <c r="J743" s="511" t="s">
        <v>1846</v>
      </c>
      <c r="K743" s="511"/>
      <c r="L743" s="291">
        <f>ROUNDDOWN(46000*38*0.012,0)</f>
        <v>20976</v>
      </c>
      <c r="M743" s="315">
        <f>+L743</f>
        <v>20976</v>
      </c>
      <c r="N743" s="316">
        <v>22080</v>
      </c>
      <c r="O743" s="316">
        <f t="shared" si="16"/>
        <v>-1104</v>
      </c>
      <c r="P743" s="290"/>
      <c r="Q743" s="316" t="s">
        <v>1479</v>
      </c>
    </row>
    <row r="744" spans="1:17" s="82" customFormat="1" ht="24.95" customHeight="1">
      <c r="A744" s="284"/>
      <c r="B744" s="285"/>
      <c r="C744" s="285"/>
      <c r="D744" s="304"/>
      <c r="E744" s="294"/>
      <c r="F744" s="295"/>
      <c r="G744" s="510" t="s">
        <v>1488</v>
      </c>
      <c r="H744" s="510"/>
      <c r="I744" s="510"/>
      <c r="J744" s="296"/>
      <c r="K744" s="296"/>
      <c r="L744" s="291"/>
      <c r="M744" s="315"/>
      <c r="N744" s="316"/>
      <c r="O744" s="316"/>
      <c r="P744" s="290"/>
      <c r="Q744" s="316"/>
    </row>
    <row r="745" spans="1:17" s="82" customFormat="1" ht="24.95" customHeight="1">
      <c r="A745" s="284"/>
      <c r="B745" s="285"/>
      <c r="C745" s="285"/>
      <c r="D745" s="304"/>
      <c r="E745" s="305"/>
      <c r="F745" s="298"/>
      <c r="G745" s="298"/>
      <c r="H745" s="298"/>
      <c r="I745" s="298"/>
      <c r="J745" s="511" t="s">
        <v>1847</v>
      </c>
      <c r="K745" s="511"/>
      <c r="L745" s="291">
        <f>ROUNDDOWN(46000*2*0.012*80%,0)</f>
        <v>883</v>
      </c>
      <c r="M745" s="315">
        <f>+L745</f>
        <v>883</v>
      </c>
      <c r="N745" s="316">
        <v>0</v>
      </c>
      <c r="O745" s="316">
        <f t="shared" si="16"/>
        <v>883</v>
      </c>
      <c r="P745" s="290"/>
      <c r="Q745" s="316"/>
    </row>
    <row r="746" spans="1:17" s="82" customFormat="1" ht="24.95" customHeight="1">
      <c r="A746" s="284"/>
      <c r="B746" s="285"/>
      <c r="C746" s="285"/>
      <c r="D746" s="304"/>
      <c r="E746" s="509" t="s">
        <v>1089</v>
      </c>
      <c r="F746" s="510"/>
      <c r="G746" s="510"/>
      <c r="H746" s="510"/>
      <c r="I746" s="510"/>
      <c r="J746" s="511"/>
      <c r="K746" s="511"/>
      <c r="L746" s="291"/>
      <c r="M746" s="315"/>
      <c r="N746" s="316"/>
      <c r="O746" s="316"/>
      <c r="P746" s="290"/>
      <c r="Q746" s="316"/>
    </row>
    <row r="747" spans="1:17" s="82" customFormat="1" ht="24.95" customHeight="1">
      <c r="A747" s="284"/>
      <c r="B747" s="285"/>
      <c r="C747" s="285"/>
      <c r="D747" s="304"/>
      <c r="E747" s="292"/>
      <c r="F747" s="293"/>
      <c r="G747" s="510" t="s">
        <v>1087</v>
      </c>
      <c r="H747" s="510"/>
      <c r="I747" s="510"/>
      <c r="J747" s="296"/>
      <c r="K747" s="296"/>
      <c r="L747" s="291"/>
      <c r="M747" s="315"/>
      <c r="N747" s="316"/>
      <c r="O747" s="316"/>
      <c r="P747" s="290"/>
      <c r="Q747" s="316"/>
    </row>
    <row r="748" spans="1:17" s="82" customFormat="1" ht="24.95" customHeight="1">
      <c r="A748" s="284"/>
      <c r="B748" s="285"/>
      <c r="C748" s="285"/>
      <c r="D748" s="304"/>
      <c r="E748" s="292"/>
      <c r="F748" s="293"/>
      <c r="G748" s="293"/>
      <c r="H748" s="298"/>
      <c r="I748" s="298"/>
      <c r="J748" s="511" t="s">
        <v>1090</v>
      </c>
      <c r="K748" s="511"/>
      <c r="L748" s="291">
        <f>ROUNDDOWN(43000*5*0.012,0)</f>
        <v>2580</v>
      </c>
      <c r="M748" s="315">
        <f>+L748</f>
        <v>2580</v>
      </c>
      <c r="N748" s="315">
        <f t="shared" ref="N748" si="17">+M748</f>
        <v>2580</v>
      </c>
      <c r="O748" s="316">
        <f t="shared" si="16"/>
        <v>0</v>
      </c>
      <c r="P748" s="290"/>
      <c r="Q748" s="316"/>
    </row>
    <row r="749" spans="1:17" s="82" customFormat="1" ht="24.95" customHeight="1">
      <c r="A749" s="284"/>
      <c r="B749" s="285"/>
      <c r="C749" s="285"/>
      <c r="D749" s="304"/>
      <c r="E749" s="292"/>
      <c r="F749" s="293"/>
      <c r="G749" s="510" t="s">
        <v>902</v>
      </c>
      <c r="H749" s="510"/>
      <c r="I749" s="510"/>
      <c r="J749" s="296"/>
      <c r="K749" s="296"/>
      <c r="L749" s="291"/>
      <c r="M749" s="315"/>
      <c r="N749" s="316"/>
      <c r="O749" s="316"/>
      <c r="P749" s="290"/>
      <c r="Q749" s="316"/>
    </row>
    <row r="750" spans="1:17" s="82" customFormat="1" ht="24.95" customHeight="1">
      <c r="A750" s="284"/>
      <c r="B750" s="285"/>
      <c r="C750" s="285"/>
      <c r="D750" s="304"/>
      <c r="E750" s="292"/>
      <c r="F750" s="293"/>
      <c r="G750" s="293"/>
      <c r="H750" s="298"/>
      <c r="I750" s="298"/>
      <c r="J750" s="511" t="s">
        <v>1848</v>
      </c>
      <c r="K750" s="511"/>
      <c r="L750" s="291">
        <f>ROUNDDOWN(36000*18*0.012,0)</f>
        <v>7776</v>
      </c>
      <c r="M750" s="315">
        <f>+L750</f>
        <v>7776</v>
      </c>
      <c r="N750" s="316">
        <v>8640</v>
      </c>
      <c r="O750" s="316">
        <f t="shared" si="16"/>
        <v>-864</v>
      </c>
      <c r="P750" s="290"/>
      <c r="Q750" s="316" t="s">
        <v>1479</v>
      </c>
    </row>
    <row r="751" spans="1:17" s="82" customFormat="1" ht="24.95" customHeight="1">
      <c r="A751" s="284"/>
      <c r="B751" s="285"/>
      <c r="C751" s="285"/>
      <c r="D751" s="304"/>
      <c r="E751" s="294"/>
      <c r="F751" s="295"/>
      <c r="G751" s="510" t="s">
        <v>1484</v>
      </c>
      <c r="H751" s="510"/>
      <c r="I751" s="510"/>
      <c r="J751" s="296"/>
      <c r="K751" s="296"/>
      <c r="L751" s="291"/>
      <c r="M751" s="315"/>
      <c r="N751" s="316"/>
      <c r="O751" s="316"/>
      <c r="P751" s="290"/>
      <c r="Q751" s="316"/>
    </row>
    <row r="752" spans="1:17" s="82" customFormat="1" ht="24.95" customHeight="1">
      <c r="A752" s="284"/>
      <c r="B752" s="285"/>
      <c r="C752" s="285"/>
      <c r="D752" s="304"/>
      <c r="E752" s="305"/>
      <c r="F752" s="298"/>
      <c r="G752" s="298"/>
      <c r="H752" s="298"/>
      <c r="I752" s="298"/>
      <c r="J752" s="511" t="s">
        <v>1849</v>
      </c>
      <c r="K752" s="511"/>
      <c r="L752" s="291">
        <f>ROUNDDOWN(36000*2*0.012*80%,0)</f>
        <v>691</v>
      </c>
      <c r="M752" s="315">
        <f>+(L752)</f>
        <v>691</v>
      </c>
      <c r="N752" s="316">
        <v>0</v>
      </c>
      <c r="O752" s="316">
        <f t="shared" si="16"/>
        <v>691</v>
      </c>
      <c r="P752" s="290"/>
      <c r="Q752" s="316"/>
    </row>
    <row r="753" spans="1:17" s="82" customFormat="1" ht="24.95" customHeight="1">
      <c r="A753" s="284"/>
      <c r="B753" s="285"/>
      <c r="C753" s="285"/>
      <c r="D753" s="304"/>
      <c r="E753" s="292"/>
      <c r="F753" s="293"/>
      <c r="G753" s="510" t="s">
        <v>903</v>
      </c>
      <c r="H753" s="510"/>
      <c r="I753" s="510"/>
      <c r="J753" s="296"/>
      <c r="K753" s="296"/>
      <c r="L753" s="291"/>
      <c r="M753" s="315"/>
      <c r="N753" s="316"/>
      <c r="O753" s="316"/>
      <c r="P753" s="290"/>
      <c r="Q753" s="316"/>
    </row>
    <row r="754" spans="1:17" s="82" customFormat="1" ht="24.95" customHeight="1">
      <c r="A754" s="284"/>
      <c r="B754" s="285"/>
      <c r="C754" s="285"/>
      <c r="D754" s="304"/>
      <c r="E754" s="292"/>
      <c r="F754" s="293"/>
      <c r="G754" s="293"/>
      <c r="H754" s="298"/>
      <c r="I754" s="298"/>
      <c r="J754" s="511" t="s">
        <v>1850</v>
      </c>
      <c r="K754" s="511"/>
      <c r="L754" s="291">
        <f>ROUNDDOWN(30000*47*0.012,0)</f>
        <v>16920</v>
      </c>
      <c r="M754" s="315">
        <f>+(L754)</f>
        <v>16920</v>
      </c>
      <c r="N754" s="316">
        <v>18000</v>
      </c>
      <c r="O754" s="316">
        <f t="shared" si="16"/>
        <v>-1080</v>
      </c>
      <c r="P754" s="290"/>
      <c r="Q754" s="316" t="s">
        <v>1479</v>
      </c>
    </row>
    <row r="755" spans="1:17" s="82" customFormat="1" ht="24.95" customHeight="1">
      <c r="A755" s="284"/>
      <c r="B755" s="285"/>
      <c r="C755" s="285"/>
      <c r="D755" s="304"/>
      <c r="E755" s="294"/>
      <c r="F755" s="295"/>
      <c r="G755" s="510" t="s">
        <v>1488</v>
      </c>
      <c r="H755" s="510"/>
      <c r="I755" s="510"/>
      <c r="J755" s="296"/>
      <c r="K755" s="296"/>
      <c r="L755" s="291"/>
      <c r="M755" s="315"/>
      <c r="N755" s="316"/>
      <c r="O755" s="316"/>
      <c r="P755" s="290"/>
      <c r="Q755" s="316"/>
    </row>
    <row r="756" spans="1:17" s="82" customFormat="1" ht="24.95" customHeight="1">
      <c r="A756" s="284"/>
      <c r="B756" s="285"/>
      <c r="C756" s="285"/>
      <c r="D756" s="304"/>
      <c r="E756" s="305"/>
      <c r="F756" s="298"/>
      <c r="G756" s="298"/>
      <c r="H756" s="298"/>
      <c r="I756" s="298"/>
      <c r="J756" s="511" t="s">
        <v>1851</v>
      </c>
      <c r="K756" s="511"/>
      <c r="L756" s="291">
        <f>ROUNDDOWN(30000*3*0.012*80%,0)</f>
        <v>864</v>
      </c>
      <c r="M756" s="315">
        <f>+(L756)</f>
        <v>864</v>
      </c>
      <c r="N756" s="316">
        <v>0</v>
      </c>
      <c r="O756" s="316">
        <f t="shared" si="16"/>
        <v>864</v>
      </c>
      <c r="P756" s="290"/>
      <c r="Q756" s="316"/>
    </row>
    <row r="757" spans="1:17" s="82" customFormat="1" ht="24.95" customHeight="1">
      <c r="A757" s="284"/>
      <c r="B757" s="285"/>
      <c r="C757" s="285"/>
      <c r="D757" s="304"/>
      <c r="E757" s="509" t="s">
        <v>1091</v>
      </c>
      <c r="F757" s="510"/>
      <c r="G757" s="510"/>
      <c r="H757" s="510"/>
      <c r="I757" s="510"/>
      <c r="J757" s="511"/>
      <c r="K757" s="511"/>
      <c r="L757" s="291"/>
      <c r="M757" s="315"/>
      <c r="N757" s="316"/>
      <c r="O757" s="316"/>
      <c r="P757" s="290"/>
      <c r="Q757" s="316"/>
    </row>
    <row r="758" spans="1:17" s="82" customFormat="1" ht="24.95" customHeight="1">
      <c r="A758" s="284"/>
      <c r="B758" s="285"/>
      <c r="C758" s="285"/>
      <c r="D758" s="304"/>
      <c r="E758" s="292"/>
      <c r="F758" s="293"/>
      <c r="G758" s="510" t="s">
        <v>1087</v>
      </c>
      <c r="H758" s="510"/>
      <c r="I758" s="510"/>
      <c r="J758" s="296"/>
      <c r="K758" s="296"/>
      <c r="L758" s="291"/>
      <c r="M758" s="315"/>
      <c r="N758" s="316"/>
      <c r="O758" s="316"/>
      <c r="P758" s="290"/>
      <c r="Q758" s="316"/>
    </row>
    <row r="759" spans="1:17" s="82" customFormat="1" ht="24.95" customHeight="1">
      <c r="A759" s="284"/>
      <c r="B759" s="285"/>
      <c r="C759" s="285"/>
      <c r="D759" s="304"/>
      <c r="E759" s="292"/>
      <c r="F759" s="293"/>
      <c r="G759" s="293"/>
      <c r="H759" s="298"/>
      <c r="I759" s="298"/>
      <c r="J759" s="511" t="s">
        <v>1092</v>
      </c>
      <c r="K759" s="511"/>
      <c r="L759" s="291">
        <f>ROUNDDOWN(29000*3*0.012,0)</f>
        <v>1044</v>
      </c>
      <c r="M759" s="315">
        <f>+L759</f>
        <v>1044</v>
      </c>
      <c r="N759" s="316">
        <v>1044</v>
      </c>
      <c r="O759" s="316">
        <f t="shared" si="16"/>
        <v>0</v>
      </c>
      <c r="P759" s="290"/>
      <c r="Q759" s="316"/>
    </row>
    <row r="760" spans="1:17" s="82" customFormat="1" ht="24.95" customHeight="1">
      <c r="A760" s="284"/>
      <c r="B760" s="285"/>
      <c r="C760" s="285"/>
      <c r="D760" s="304"/>
      <c r="E760" s="292"/>
      <c r="F760" s="293"/>
      <c r="G760" s="510" t="s">
        <v>902</v>
      </c>
      <c r="H760" s="510"/>
      <c r="I760" s="510"/>
      <c r="J760" s="296"/>
      <c r="K760" s="296"/>
      <c r="L760" s="291"/>
      <c r="M760" s="315"/>
      <c r="N760" s="316"/>
      <c r="O760" s="316"/>
      <c r="P760" s="290"/>
      <c r="Q760" s="316"/>
    </row>
    <row r="761" spans="1:17" s="82" customFormat="1" ht="24.95" customHeight="1">
      <c r="A761" s="284"/>
      <c r="B761" s="285"/>
      <c r="C761" s="285"/>
      <c r="D761" s="304"/>
      <c r="E761" s="292"/>
      <c r="F761" s="293"/>
      <c r="G761" s="293"/>
      <c r="H761" s="298"/>
      <c r="I761" s="298"/>
      <c r="J761" s="511" t="s">
        <v>1852</v>
      </c>
      <c r="K761" s="511"/>
      <c r="L761" s="291">
        <f>ROUNDDOWN(24000*14*0.012,0)</f>
        <v>4032</v>
      </c>
      <c r="M761" s="315">
        <f>+(L761)</f>
        <v>4032</v>
      </c>
      <c r="N761" s="316">
        <v>4320</v>
      </c>
      <c r="O761" s="316">
        <f t="shared" si="16"/>
        <v>-288</v>
      </c>
      <c r="P761" s="290"/>
      <c r="Q761" s="316" t="s">
        <v>1479</v>
      </c>
    </row>
    <row r="762" spans="1:17" s="82" customFormat="1" ht="24.95" customHeight="1">
      <c r="A762" s="284"/>
      <c r="B762" s="285"/>
      <c r="C762" s="285"/>
      <c r="D762" s="304"/>
      <c r="E762" s="294"/>
      <c r="F762" s="295"/>
      <c r="G762" s="510" t="s">
        <v>1484</v>
      </c>
      <c r="H762" s="510"/>
      <c r="I762" s="510"/>
      <c r="J762" s="296"/>
      <c r="K762" s="296"/>
      <c r="L762" s="291"/>
      <c r="M762" s="315"/>
      <c r="N762" s="316"/>
      <c r="O762" s="316"/>
      <c r="P762" s="290"/>
      <c r="Q762" s="316"/>
    </row>
    <row r="763" spans="1:17" s="82" customFormat="1" ht="24.95" customHeight="1">
      <c r="A763" s="284"/>
      <c r="B763" s="285"/>
      <c r="C763" s="285"/>
      <c r="D763" s="304"/>
      <c r="E763" s="305"/>
      <c r="F763" s="298"/>
      <c r="G763" s="298"/>
      <c r="H763" s="298"/>
      <c r="I763" s="298"/>
      <c r="J763" s="511" t="s">
        <v>1853</v>
      </c>
      <c r="K763" s="511"/>
      <c r="L763" s="291">
        <f>ROUNDDOWN(24000*1*0.012*80%,0)</f>
        <v>230</v>
      </c>
      <c r="M763" s="315">
        <f>+(L763)</f>
        <v>230</v>
      </c>
      <c r="N763" s="316">
        <v>0</v>
      </c>
      <c r="O763" s="316">
        <f t="shared" si="16"/>
        <v>230</v>
      </c>
      <c r="P763" s="290"/>
      <c r="Q763" s="316"/>
    </row>
    <row r="764" spans="1:17" s="82" customFormat="1" ht="24.95" customHeight="1">
      <c r="A764" s="284"/>
      <c r="B764" s="285"/>
      <c r="C764" s="285"/>
      <c r="D764" s="304"/>
      <c r="E764" s="292"/>
      <c r="F764" s="293"/>
      <c r="G764" s="510" t="s">
        <v>903</v>
      </c>
      <c r="H764" s="510"/>
      <c r="I764" s="510"/>
      <c r="J764" s="296"/>
      <c r="K764" s="296"/>
      <c r="L764" s="291"/>
      <c r="M764" s="315"/>
      <c r="N764" s="316"/>
      <c r="O764" s="316"/>
      <c r="P764" s="290"/>
      <c r="Q764" s="316"/>
    </row>
    <row r="765" spans="1:17" s="82" customFormat="1" ht="24.95" customHeight="1">
      <c r="A765" s="284"/>
      <c r="B765" s="285"/>
      <c r="C765" s="285"/>
      <c r="D765" s="304"/>
      <c r="E765" s="292"/>
      <c r="F765" s="293"/>
      <c r="G765" s="293"/>
      <c r="H765" s="298"/>
      <c r="I765" s="298"/>
      <c r="J765" s="511" t="s">
        <v>1854</v>
      </c>
      <c r="K765" s="511"/>
      <c r="L765" s="291">
        <f>ROUNDDOWN(20000*95*0.012,0)</f>
        <v>22800</v>
      </c>
      <c r="M765" s="315">
        <f>+(L765)</f>
        <v>22800</v>
      </c>
      <c r="N765" s="316">
        <v>24000</v>
      </c>
      <c r="O765" s="316">
        <f t="shared" si="16"/>
        <v>-1200</v>
      </c>
      <c r="P765" s="290"/>
      <c r="Q765" s="316" t="s">
        <v>1479</v>
      </c>
    </row>
    <row r="766" spans="1:17" s="82" customFormat="1" ht="24.95" customHeight="1">
      <c r="A766" s="284"/>
      <c r="B766" s="285"/>
      <c r="C766" s="285"/>
      <c r="D766" s="304"/>
      <c r="E766" s="294"/>
      <c r="F766" s="295"/>
      <c r="G766" s="510" t="s">
        <v>1488</v>
      </c>
      <c r="H766" s="510"/>
      <c r="I766" s="510"/>
      <c r="J766" s="296"/>
      <c r="K766" s="296"/>
      <c r="L766" s="291"/>
      <c r="M766" s="315"/>
      <c r="N766" s="316"/>
      <c r="O766" s="316"/>
      <c r="P766" s="290"/>
      <c r="Q766" s="316"/>
    </row>
    <row r="767" spans="1:17" s="82" customFormat="1" ht="24.95" customHeight="1">
      <c r="A767" s="284"/>
      <c r="B767" s="285"/>
      <c r="C767" s="285"/>
      <c r="D767" s="304"/>
      <c r="E767" s="292"/>
      <c r="F767" s="293"/>
      <c r="G767" s="293"/>
      <c r="H767" s="293"/>
      <c r="I767" s="298"/>
      <c r="J767" s="511" t="s">
        <v>1855</v>
      </c>
      <c r="K767" s="511"/>
      <c r="L767" s="291">
        <f>ROUNDDOWN(20000*5*0.012*80%,0)</f>
        <v>960</v>
      </c>
      <c r="M767" s="315">
        <f>+(L767)</f>
        <v>960</v>
      </c>
      <c r="N767" s="316">
        <v>0</v>
      </c>
      <c r="O767" s="316">
        <f t="shared" si="16"/>
        <v>960</v>
      </c>
      <c r="P767" s="290"/>
      <c r="Q767" s="316"/>
    </row>
    <row r="768" spans="1:17" s="82" customFormat="1" ht="24.95" customHeight="1">
      <c r="A768" s="284"/>
      <c r="B768" s="285"/>
      <c r="C768" s="285"/>
      <c r="D768" s="304"/>
      <c r="E768" s="509" t="s">
        <v>1093</v>
      </c>
      <c r="F768" s="510"/>
      <c r="G768" s="510"/>
      <c r="H768" s="510"/>
      <c r="I768" s="510"/>
      <c r="J768" s="511"/>
      <c r="K768" s="511"/>
      <c r="L768" s="291"/>
      <c r="M768" s="315"/>
      <c r="N768" s="316"/>
      <c r="O768" s="316"/>
      <c r="P768" s="290"/>
      <c r="Q768" s="316"/>
    </row>
    <row r="769" spans="1:17" s="82" customFormat="1" ht="24.95" customHeight="1">
      <c r="A769" s="284"/>
      <c r="B769" s="285"/>
      <c r="C769" s="285"/>
      <c r="D769" s="304"/>
      <c r="E769" s="292"/>
      <c r="F769" s="293"/>
      <c r="G769" s="510" t="s">
        <v>1087</v>
      </c>
      <c r="H769" s="510"/>
      <c r="I769" s="510"/>
      <c r="J769" s="296"/>
      <c r="K769" s="296"/>
      <c r="L769" s="291"/>
      <c r="M769" s="315"/>
      <c r="N769" s="316"/>
      <c r="O769" s="316"/>
      <c r="P769" s="290"/>
      <c r="Q769" s="316"/>
    </row>
    <row r="770" spans="1:17" s="82" customFormat="1" ht="24.95" customHeight="1">
      <c r="A770" s="284"/>
      <c r="B770" s="285"/>
      <c r="C770" s="285"/>
      <c r="D770" s="304"/>
      <c r="E770" s="292"/>
      <c r="F770" s="293"/>
      <c r="G770" s="293"/>
      <c r="H770" s="298"/>
      <c r="I770" s="298"/>
      <c r="J770" s="511" t="s">
        <v>1094</v>
      </c>
      <c r="K770" s="511"/>
      <c r="L770" s="291">
        <f>ROUNDDOWN(14800*8*0.012,0)</f>
        <v>1420</v>
      </c>
      <c r="M770" s="315">
        <f>+L770</f>
        <v>1420</v>
      </c>
      <c r="N770" s="316">
        <v>1420</v>
      </c>
      <c r="O770" s="316">
        <f t="shared" ref="O770:O787" si="18">+M770-N770</f>
        <v>0</v>
      </c>
      <c r="P770" s="290"/>
      <c r="Q770" s="316"/>
    </row>
    <row r="771" spans="1:17" s="82" customFormat="1" ht="24.95" customHeight="1">
      <c r="A771" s="284"/>
      <c r="B771" s="285"/>
      <c r="C771" s="285"/>
      <c r="D771" s="304"/>
      <c r="E771" s="292"/>
      <c r="F771" s="293"/>
      <c r="G771" s="510" t="s">
        <v>902</v>
      </c>
      <c r="H771" s="510"/>
      <c r="I771" s="510"/>
      <c r="J771" s="296"/>
      <c r="K771" s="296"/>
      <c r="L771" s="291"/>
      <c r="M771" s="315"/>
      <c r="N771" s="316"/>
      <c r="O771" s="316"/>
      <c r="P771" s="290"/>
      <c r="Q771" s="316"/>
    </row>
    <row r="772" spans="1:17" s="82" customFormat="1" ht="24.95" customHeight="1">
      <c r="A772" s="284"/>
      <c r="B772" s="285"/>
      <c r="C772" s="285"/>
      <c r="D772" s="304"/>
      <c r="E772" s="292"/>
      <c r="F772" s="293"/>
      <c r="G772" s="293"/>
      <c r="H772" s="298"/>
      <c r="I772" s="298"/>
      <c r="J772" s="511" t="s">
        <v>1856</v>
      </c>
      <c r="K772" s="511"/>
      <c r="L772" s="291">
        <f>ROUNDDOWN(12000*18*0.012,0)</f>
        <v>2592</v>
      </c>
      <c r="M772" s="315">
        <f>+(L772)</f>
        <v>2592</v>
      </c>
      <c r="N772" s="316">
        <v>2880</v>
      </c>
      <c r="O772" s="316">
        <f t="shared" si="18"/>
        <v>-288</v>
      </c>
      <c r="P772" s="290"/>
      <c r="Q772" s="316" t="s">
        <v>1479</v>
      </c>
    </row>
    <row r="773" spans="1:17" s="82" customFormat="1" ht="24.95" customHeight="1">
      <c r="A773" s="284"/>
      <c r="B773" s="285"/>
      <c r="C773" s="285"/>
      <c r="D773" s="304"/>
      <c r="E773" s="294" t="s">
        <v>1927</v>
      </c>
      <c r="F773" s="295"/>
      <c r="G773" s="510" t="s">
        <v>1484</v>
      </c>
      <c r="H773" s="510"/>
      <c r="I773" s="510"/>
      <c r="J773" s="296"/>
      <c r="K773" s="296"/>
      <c r="L773" s="291"/>
      <c r="M773" s="315"/>
      <c r="N773" s="316"/>
      <c r="O773" s="316"/>
      <c r="P773" s="290"/>
      <c r="Q773" s="316"/>
    </row>
    <row r="774" spans="1:17" s="82" customFormat="1" ht="24.95" customHeight="1">
      <c r="A774" s="284"/>
      <c r="B774" s="285"/>
      <c r="C774" s="285"/>
      <c r="D774" s="304"/>
      <c r="E774" s="305"/>
      <c r="F774" s="298"/>
      <c r="G774" s="298"/>
      <c r="H774" s="298"/>
      <c r="I774" s="298"/>
      <c r="J774" s="511" t="s">
        <v>1857</v>
      </c>
      <c r="K774" s="511"/>
      <c r="L774" s="291">
        <f>ROUNDDOWN(12000*2*0.012*80%,0)</f>
        <v>230</v>
      </c>
      <c r="M774" s="315">
        <f>+(L774)</f>
        <v>230</v>
      </c>
      <c r="N774" s="316">
        <v>0</v>
      </c>
      <c r="O774" s="316">
        <f t="shared" si="18"/>
        <v>230</v>
      </c>
      <c r="P774" s="290"/>
      <c r="Q774" s="316"/>
    </row>
    <row r="775" spans="1:17" s="82" customFormat="1" ht="24.95" customHeight="1">
      <c r="A775" s="284"/>
      <c r="B775" s="285"/>
      <c r="C775" s="285"/>
      <c r="D775" s="304"/>
      <c r="E775" s="292"/>
      <c r="F775" s="293"/>
      <c r="G775" s="510" t="s">
        <v>903</v>
      </c>
      <c r="H775" s="510"/>
      <c r="I775" s="510"/>
      <c r="J775" s="296"/>
      <c r="K775" s="296"/>
      <c r="L775" s="291"/>
      <c r="M775" s="315"/>
      <c r="N775" s="316"/>
      <c r="O775" s="316"/>
      <c r="P775" s="290"/>
      <c r="Q775" s="316"/>
    </row>
    <row r="776" spans="1:17" s="82" customFormat="1" ht="24.95" customHeight="1">
      <c r="A776" s="284"/>
      <c r="B776" s="285"/>
      <c r="C776" s="285"/>
      <c r="D776" s="304"/>
      <c r="E776" s="292"/>
      <c r="F776" s="293"/>
      <c r="G776" s="293"/>
      <c r="H776" s="298"/>
      <c r="I776" s="298"/>
      <c r="J776" s="511" t="s">
        <v>1858</v>
      </c>
      <c r="K776" s="511"/>
      <c r="L776" s="291">
        <f>ROUNDDOWN(10000*65*0.012,0)</f>
        <v>7800</v>
      </c>
      <c r="M776" s="315">
        <f>+(L776)</f>
        <v>7800</v>
      </c>
      <c r="N776" s="316">
        <v>7200</v>
      </c>
      <c r="O776" s="316">
        <f t="shared" si="18"/>
        <v>600</v>
      </c>
      <c r="P776" s="290"/>
      <c r="Q776" s="316" t="s">
        <v>1859</v>
      </c>
    </row>
    <row r="777" spans="1:17" s="82" customFormat="1" ht="24.95" customHeight="1">
      <c r="A777" s="284"/>
      <c r="B777" s="285"/>
      <c r="C777" s="285"/>
      <c r="D777" s="304"/>
      <c r="E777" s="294"/>
      <c r="F777" s="295"/>
      <c r="G777" s="510" t="s">
        <v>1488</v>
      </c>
      <c r="H777" s="510"/>
      <c r="I777" s="510"/>
      <c r="J777" s="296"/>
      <c r="K777" s="296"/>
      <c r="L777" s="291"/>
      <c r="M777" s="315"/>
      <c r="N777" s="316"/>
      <c r="O777" s="316"/>
      <c r="P777" s="290"/>
      <c r="Q777" s="316"/>
    </row>
    <row r="778" spans="1:17" s="82" customFormat="1" ht="24.95" customHeight="1">
      <c r="A778" s="284"/>
      <c r="B778" s="285"/>
      <c r="C778" s="285"/>
      <c r="D778" s="304"/>
      <c r="E778" s="305"/>
      <c r="F778" s="298"/>
      <c r="G778" s="298"/>
      <c r="H778" s="298"/>
      <c r="I778" s="298"/>
      <c r="J778" s="511" t="s">
        <v>1860</v>
      </c>
      <c r="K778" s="511"/>
      <c r="L778" s="291">
        <f>ROUNDDOWN(10000*5*0.012*80%,0)</f>
        <v>480</v>
      </c>
      <c r="M778" s="315">
        <f>+(L778)</f>
        <v>480</v>
      </c>
      <c r="N778" s="316">
        <v>0</v>
      </c>
      <c r="O778" s="316">
        <f t="shared" si="18"/>
        <v>480</v>
      </c>
      <c r="P778" s="290"/>
      <c r="Q778" s="316"/>
    </row>
    <row r="779" spans="1:17" s="82" customFormat="1" ht="24.95" customHeight="1">
      <c r="A779" s="284"/>
      <c r="B779" s="285"/>
      <c r="C779" s="285"/>
      <c r="D779" s="304"/>
      <c r="E779" s="509" t="s">
        <v>1095</v>
      </c>
      <c r="F779" s="510"/>
      <c r="G779" s="510"/>
      <c r="H779" s="510"/>
      <c r="I779" s="510"/>
      <c r="J779" s="511"/>
      <c r="K779" s="511"/>
      <c r="L779" s="291"/>
      <c r="M779" s="315"/>
      <c r="N779" s="316"/>
      <c r="O779" s="316"/>
      <c r="P779" s="290"/>
      <c r="Q779" s="316"/>
    </row>
    <row r="780" spans="1:17" s="82" customFormat="1" ht="24.95" customHeight="1">
      <c r="A780" s="284"/>
      <c r="B780" s="285"/>
      <c r="C780" s="285"/>
      <c r="D780" s="286"/>
      <c r="E780" s="292"/>
      <c r="F780" s="293"/>
      <c r="G780" s="510" t="s">
        <v>1096</v>
      </c>
      <c r="H780" s="510"/>
      <c r="I780" s="510"/>
      <c r="J780" s="296"/>
      <c r="K780" s="296"/>
      <c r="L780" s="291"/>
      <c r="M780" s="315"/>
      <c r="N780" s="316"/>
      <c r="O780" s="316"/>
      <c r="P780" s="290"/>
      <c r="Q780" s="316"/>
    </row>
    <row r="781" spans="1:17" s="82" customFormat="1" ht="24.95" customHeight="1">
      <c r="A781" s="284"/>
      <c r="B781" s="285"/>
      <c r="C781" s="285"/>
      <c r="D781" s="286"/>
      <c r="E781" s="516" t="s">
        <v>1097</v>
      </c>
      <c r="F781" s="518"/>
      <c r="G781" s="518"/>
      <c r="H781" s="518"/>
      <c r="I781" s="518"/>
      <c r="J781" s="518"/>
      <c r="K781" s="518"/>
      <c r="L781" s="291">
        <f>ROUNDDOWN(3000*2800*0.012,0)</f>
        <v>100800</v>
      </c>
      <c r="M781" s="315">
        <f t="shared" ref="M781" si="19">+L781</f>
        <v>100800</v>
      </c>
      <c r="N781" s="316">
        <v>100800</v>
      </c>
      <c r="O781" s="316">
        <f t="shared" si="18"/>
        <v>0</v>
      </c>
      <c r="P781" s="290"/>
      <c r="Q781" s="316"/>
    </row>
    <row r="782" spans="1:17" s="82" customFormat="1" ht="24.95" customHeight="1">
      <c r="A782" s="284"/>
      <c r="B782" s="285"/>
      <c r="C782" s="285"/>
      <c r="D782" s="286"/>
      <c r="E782" s="292"/>
      <c r="F782" s="293"/>
      <c r="G782" s="510" t="s">
        <v>921</v>
      </c>
      <c r="H782" s="510"/>
      <c r="I782" s="510"/>
      <c r="J782" s="296"/>
      <c r="K782" s="296"/>
      <c r="L782" s="291"/>
      <c r="M782" s="315"/>
      <c r="N782" s="316"/>
      <c r="O782" s="316"/>
      <c r="P782" s="290"/>
      <c r="Q782" s="316"/>
    </row>
    <row r="783" spans="1:17" s="82" customFormat="1" ht="24.95" customHeight="1">
      <c r="A783" s="284"/>
      <c r="B783" s="285"/>
      <c r="C783" s="285"/>
      <c r="D783" s="286"/>
      <c r="E783" s="516" t="s">
        <v>1098</v>
      </c>
      <c r="F783" s="518"/>
      <c r="G783" s="518"/>
      <c r="H783" s="518"/>
      <c r="I783" s="518"/>
      <c r="J783" s="518"/>
      <c r="K783" s="518"/>
      <c r="L783" s="291">
        <f>ROUNDDOWN(2500*2700*0.012,0)</f>
        <v>81000</v>
      </c>
      <c r="M783" s="315">
        <f t="shared" ref="M783" si="20">+L783</f>
        <v>81000</v>
      </c>
      <c r="N783" s="316">
        <v>81000</v>
      </c>
      <c r="O783" s="316">
        <f t="shared" si="18"/>
        <v>0</v>
      </c>
      <c r="P783" s="290"/>
      <c r="Q783" s="316"/>
    </row>
    <row r="784" spans="1:17" s="82" customFormat="1" ht="24.95" customHeight="1">
      <c r="A784" s="284"/>
      <c r="B784" s="285"/>
      <c r="C784" s="285"/>
      <c r="D784" s="286"/>
      <c r="E784" s="509" t="s">
        <v>1099</v>
      </c>
      <c r="F784" s="510"/>
      <c r="G784" s="510"/>
      <c r="H784" s="510"/>
      <c r="I784" s="510"/>
      <c r="J784" s="511"/>
      <c r="K784" s="511"/>
      <c r="L784" s="291"/>
      <c r="M784" s="315"/>
      <c r="N784" s="316"/>
      <c r="O784" s="316"/>
      <c r="P784" s="290"/>
      <c r="Q784" s="316"/>
    </row>
    <row r="785" spans="1:17" s="82" customFormat="1" ht="24.95" customHeight="1">
      <c r="A785" s="284"/>
      <c r="B785" s="285"/>
      <c r="C785" s="285"/>
      <c r="D785" s="286"/>
      <c r="E785" s="509"/>
      <c r="F785" s="510"/>
      <c r="G785" s="510"/>
      <c r="H785" s="510"/>
      <c r="I785" s="510"/>
      <c r="J785" s="511" t="s">
        <v>1100</v>
      </c>
      <c r="K785" s="511"/>
      <c r="L785" s="291">
        <f>ROUNDDOWN(24000000*0.012,0)</f>
        <v>288000</v>
      </c>
      <c r="M785" s="315">
        <f t="shared" ref="M785" si="21">+L785</f>
        <v>288000</v>
      </c>
      <c r="N785" s="316">
        <v>288000</v>
      </c>
      <c r="O785" s="316">
        <f t="shared" si="18"/>
        <v>0</v>
      </c>
      <c r="P785" s="290"/>
      <c r="Q785" s="316"/>
    </row>
    <row r="786" spans="1:17" s="82" customFormat="1" ht="24.95" customHeight="1">
      <c r="A786" s="284"/>
      <c r="B786" s="285"/>
      <c r="C786" s="285"/>
      <c r="D786" s="286"/>
      <c r="E786" s="509" t="s">
        <v>1101</v>
      </c>
      <c r="F786" s="510"/>
      <c r="G786" s="510"/>
      <c r="H786" s="510"/>
      <c r="I786" s="510"/>
      <c r="J786" s="511"/>
      <c r="K786" s="511"/>
      <c r="L786" s="291"/>
      <c r="M786" s="315"/>
      <c r="N786" s="316"/>
      <c r="O786" s="316"/>
      <c r="P786" s="290"/>
      <c r="Q786" s="316"/>
    </row>
    <row r="787" spans="1:17" s="82" customFormat="1" ht="24.95" customHeight="1">
      <c r="A787" s="311"/>
      <c r="B787" s="312"/>
      <c r="C787" s="312"/>
      <c r="D787" s="313"/>
      <c r="E787" s="527" t="s">
        <v>1102</v>
      </c>
      <c r="F787" s="528"/>
      <c r="G787" s="528"/>
      <c r="H787" s="528"/>
      <c r="I787" s="528"/>
      <c r="J787" s="528"/>
      <c r="K787" s="528"/>
      <c r="L787" s="314">
        <f>ROUNDDOWN(125000*15*0.012,0)</f>
        <v>22500</v>
      </c>
      <c r="M787" s="317">
        <f t="shared" ref="M787" si="22">+L787</f>
        <v>22500</v>
      </c>
      <c r="N787" s="318">
        <v>22500</v>
      </c>
      <c r="O787" s="319">
        <f t="shared" si="18"/>
        <v>0</v>
      </c>
      <c r="P787" s="290"/>
      <c r="Q787" s="318"/>
    </row>
    <row r="788" spans="1:17" ht="5.0999999999999996" customHeight="1">
      <c r="M788" s="82"/>
      <c r="N788" s="82"/>
      <c r="O788" s="82"/>
      <c r="P788" s="82"/>
      <c r="Q788" s="82"/>
    </row>
    <row r="789" spans="1:17" ht="20.100000000000001" customHeight="1">
      <c r="M789" s="82"/>
      <c r="N789" s="82"/>
      <c r="O789" s="82"/>
      <c r="P789" s="82"/>
      <c r="Q789" s="82"/>
    </row>
    <row r="790" spans="1:17" ht="20.100000000000001" customHeight="1">
      <c r="M790" s="82"/>
      <c r="N790" s="82"/>
      <c r="O790" s="82"/>
      <c r="P790" s="82"/>
      <c r="Q790" s="82"/>
    </row>
    <row r="791" spans="1:17" ht="20.100000000000001" customHeight="1">
      <c r="M791" s="82"/>
      <c r="N791" s="82"/>
      <c r="O791" s="82"/>
      <c r="P791" s="82"/>
      <c r="Q791" s="82"/>
    </row>
    <row r="792" spans="1:17" ht="20.100000000000001" customHeight="1">
      <c r="M792" s="82"/>
      <c r="N792" s="82"/>
      <c r="O792" s="82"/>
      <c r="P792" s="82"/>
      <c r="Q792" s="82"/>
    </row>
    <row r="793" spans="1:17" ht="20.100000000000001" customHeight="1">
      <c r="M793" s="82"/>
      <c r="N793" s="82"/>
      <c r="O793" s="82"/>
      <c r="P793" s="82"/>
      <c r="Q793" s="82"/>
    </row>
    <row r="794" spans="1:17" ht="20.100000000000001" customHeight="1">
      <c r="M794" s="82"/>
      <c r="N794" s="82"/>
      <c r="O794" s="82"/>
      <c r="P794" s="82"/>
      <c r="Q794" s="82"/>
    </row>
    <row r="795" spans="1:17" ht="20.100000000000001" customHeight="1">
      <c r="M795" s="82"/>
      <c r="N795" s="82"/>
      <c r="O795" s="82"/>
      <c r="P795" s="82"/>
      <c r="Q795" s="82"/>
    </row>
    <row r="796" spans="1:17" ht="20.100000000000001" customHeight="1">
      <c r="M796" s="82"/>
      <c r="N796" s="82"/>
      <c r="O796" s="82"/>
      <c r="P796" s="82"/>
      <c r="Q796" s="82"/>
    </row>
    <row r="797" spans="1:17" ht="20.100000000000001" customHeight="1">
      <c r="M797" s="82"/>
      <c r="N797" s="82"/>
      <c r="O797" s="82"/>
      <c r="P797" s="82"/>
      <c r="Q797" s="82"/>
    </row>
    <row r="798" spans="1:17" ht="20.100000000000001" customHeight="1">
      <c r="M798" s="82"/>
      <c r="N798" s="82"/>
      <c r="O798" s="82"/>
      <c r="P798" s="82"/>
      <c r="Q798" s="82"/>
    </row>
    <row r="799" spans="1:17" ht="20.100000000000001" customHeight="1">
      <c r="M799" s="82"/>
      <c r="N799" s="82"/>
      <c r="O799" s="82"/>
      <c r="P799" s="82"/>
      <c r="Q799" s="82"/>
    </row>
    <row r="800" spans="1:17" ht="20.100000000000001" customHeight="1">
      <c r="M800" s="82"/>
      <c r="N800" s="82"/>
      <c r="O800" s="82"/>
      <c r="P800" s="82"/>
      <c r="Q800" s="82"/>
    </row>
    <row r="801" spans="13:17" ht="20.100000000000001" customHeight="1">
      <c r="M801" s="82"/>
      <c r="N801" s="82"/>
      <c r="O801" s="82"/>
      <c r="P801" s="82"/>
      <c r="Q801" s="82"/>
    </row>
    <row r="802" spans="13:17" ht="20.100000000000001" customHeight="1">
      <c r="M802" s="82"/>
      <c r="N802" s="82"/>
      <c r="O802" s="82"/>
      <c r="P802" s="82"/>
      <c r="Q802" s="82"/>
    </row>
    <row r="803" spans="13:17" ht="20.100000000000001" customHeight="1">
      <c r="M803" s="82"/>
      <c r="N803" s="82"/>
      <c r="O803" s="82"/>
      <c r="P803" s="82"/>
      <c r="Q803" s="82"/>
    </row>
    <row r="804" spans="13:17" ht="20.100000000000001" customHeight="1">
      <c r="M804" s="82"/>
      <c r="N804" s="82"/>
      <c r="O804" s="82"/>
      <c r="P804" s="82"/>
      <c r="Q804" s="82"/>
    </row>
    <row r="805" spans="13:17" ht="20.100000000000001" customHeight="1">
      <c r="M805" s="82"/>
      <c r="N805" s="82"/>
      <c r="O805" s="82"/>
      <c r="P805" s="82"/>
      <c r="Q805" s="82"/>
    </row>
    <row r="806" spans="13:17" ht="20.100000000000001" customHeight="1">
      <c r="M806" s="82"/>
      <c r="N806" s="82"/>
      <c r="O806" s="82"/>
      <c r="P806" s="82"/>
      <c r="Q806" s="82"/>
    </row>
    <row r="807" spans="13:17" ht="20.100000000000001" customHeight="1">
      <c r="M807" s="82"/>
      <c r="N807" s="82"/>
      <c r="O807" s="82"/>
      <c r="P807" s="82"/>
      <c r="Q807" s="82"/>
    </row>
    <row r="808" spans="13:17" ht="20.100000000000001" customHeight="1">
      <c r="M808" s="82"/>
      <c r="N808" s="82"/>
      <c r="O808" s="82"/>
      <c r="P808" s="82"/>
      <c r="Q808" s="82"/>
    </row>
    <row r="809" spans="13:17" ht="20.100000000000001" customHeight="1">
      <c r="M809" s="82"/>
      <c r="N809" s="82"/>
      <c r="O809" s="82"/>
      <c r="P809" s="82"/>
      <c r="Q809" s="82"/>
    </row>
    <row r="810" spans="13:17" ht="20.100000000000001" customHeight="1">
      <c r="M810" s="82"/>
      <c r="N810" s="82"/>
      <c r="O810" s="82"/>
      <c r="P810" s="82"/>
      <c r="Q810" s="82"/>
    </row>
    <row r="811" spans="13:17" ht="20.100000000000001" customHeight="1">
      <c r="M811" s="82"/>
      <c r="N811" s="82"/>
      <c r="O811" s="82"/>
      <c r="P811" s="82"/>
      <c r="Q811" s="82"/>
    </row>
    <row r="812" spans="13:17" ht="20.100000000000001" customHeight="1">
      <c r="M812" s="82"/>
      <c r="N812" s="82"/>
      <c r="O812" s="82"/>
      <c r="P812" s="82"/>
      <c r="Q812" s="82"/>
    </row>
    <row r="813" spans="13:17" ht="20.100000000000001" customHeight="1">
      <c r="M813" s="82"/>
      <c r="N813" s="82"/>
      <c r="O813" s="82"/>
      <c r="P813" s="82"/>
      <c r="Q813" s="82"/>
    </row>
    <row r="814" spans="13:17" ht="20.100000000000001" customHeight="1">
      <c r="M814" s="82"/>
      <c r="N814" s="82"/>
      <c r="O814" s="82"/>
      <c r="P814" s="82"/>
      <c r="Q814" s="82"/>
    </row>
    <row r="815" spans="13:17" ht="20.100000000000001" customHeight="1">
      <c r="M815" s="82"/>
      <c r="N815" s="82"/>
      <c r="O815" s="82"/>
      <c r="P815" s="82"/>
      <c r="Q815" s="82"/>
    </row>
    <row r="816" spans="13:17" ht="20.100000000000001" customHeight="1">
      <c r="M816" s="82"/>
      <c r="N816" s="82"/>
      <c r="O816" s="82"/>
      <c r="P816" s="82"/>
      <c r="Q816" s="82"/>
    </row>
    <row r="817" spans="13:17" ht="20.100000000000001" customHeight="1">
      <c r="M817" s="82"/>
      <c r="N817" s="82"/>
      <c r="O817" s="82"/>
      <c r="P817" s="82"/>
      <c r="Q817" s="82"/>
    </row>
    <row r="818" spans="13:17" ht="20.100000000000001" customHeight="1">
      <c r="M818" s="82"/>
      <c r="N818" s="82"/>
      <c r="O818" s="82"/>
      <c r="P818" s="82"/>
      <c r="Q818" s="82"/>
    </row>
    <row r="819" spans="13:17" ht="20.100000000000001" customHeight="1">
      <c r="M819" s="82"/>
      <c r="N819" s="82"/>
      <c r="O819" s="82"/>
      <c r="P819" s="82"/>
      <c r="Q819" s="82"/>
    </row>
    <row r="820" spans="13:17" ht="20.100000000000001" customHeight="1">
      <c r="M820" s="82"/>
      <c r="N820" s="82"/>
      <c r="O820" s="82"/>
      <c r="P820" s="82"/>
      <c r="Q820" s="82"/>
    </row>
    <row r="821" spans="13:17" ht="20.100000000000001" customHeight="1">
      <c r="M821" s="82"/>
      <c r="N821" s="82"/>
      <c r="O821" s="82"/>
      <c r="P821" s="82"/>
      <c r="Q821" s="82"/>
    </row>
    <row r="822" spans="13:17" ht="20.100000000000001" customHeight="1">
      <c r="M822" s="82"/>
      <c r="N822" s="82"/>
      <c r="O822" s="82"/>
      <c r="P822" s="82"/>
      <c r="Q822" s="82"/>
    </row>
    <row r="823" spans="13:17" ht="20.100000000000001" customHeight="1">
      <c r="M823" s="82"/>
      <c r="N823" s="82"/>
      <c r="O823" s="82"/>
      <c r="P823" s="82"/>
      <c r="Q823" s="82"/>
    </row>
    <row r="824" spans="13:17" ht="20.100000000000001" customHeight="1">
      <c r="M824" s="82"/>
      <c r="N824" s="82"/>
      <c r="O824" s="82"/>
      <c r="P824" s="82"/>
      <c r="Q824" s="82"/>
    </row>
    <row r="825" spans="13:17" ht="20.100000000000001" customHeight="1">
      <c r="M825" s="82"/>
      <c r="N825" s="82"/>
      <c r="O825" s="82"/>
      <c r="P825" s="82"/>
      <c r="Q825" s="82"/>
    </row>
    <row r="826" spans="13:17" ht="20.100000000000001" customHeight="1">
      <c r="M826" s="82"/>
      <c r="N826" s="82"/>
      <c r="O826" s="82"/>
      <c r="P826" s="82"/>
      <c r="Q826" s="82"/>
    </row>
    <row r="827" spans="13:17" ht="20.100000000000001" customHeight="1">
      <c r="M827" s="82"/>
      <c r="N827" s="82"/>
      <c r="O827" s="82"/>
      <c r="P827" s="82"/>
      <c r="Q827" s="82"/>
    </row>
    <row r="828" spans="13:17" ht="20.100000000000001" customHeight="1">
      <c r="M828" s="82"/>
      <c r="N828" s="82"/>
      <c r="O828" s="82"/>
      <c r="P828" s="82"/>
      <c r="Q828" s="82"/>
    </row>
    <row r="829" spans="13:17" ht="20.100000000000001" customHeight="1">
      <c r="M829" s="82"/>
      <c r="N829" s="82"/>
      <c r="O829" s="82"/>
      <c r="P829" s="82"/>
      <c r="Q829" s="82"/>
    </row>
    <row r="830" spans="13:17" ht="20.100000000000001" customHeight="1">
      <c r="M830" s="82"/>
      <c r="N830" s="82"/>
      <c r="O830" s="82"/>
      <c r="P830" s="82"/>
      <c r="Q830" s="82"/>
    </row>
    <row r="831" spans="13:17" ht="20.100000000000001" customHeight="1">
      <c r="M831" s="82"/>
      <c r="N831" s="82"/>
      <c r="O831" s="82"/>
      <c r="P831" s="82"/>
      <c r="Q831" s="82"/>
    </row>
    <row r="832" spans="13:17" ht="20.100000000000001" customHeight="1">
      <c r="M832" s="82"/>
      <c r="N832" s="82"/>
      <c r="O832" s="82"/>
      <c r="P832" s="82"/>
      <c r="Q832" s="82"/>
    </row>
    <row r="833" spans="13:17" ht="20.100000000000001" customHeight="1">
      <c r="M833" s="82"/>
      <c r="N833" s="82"/>
      <c r="O833" s="82"/>
      <c r="P833" s="82"/>
      <c r="Q833" s="82"/>
    </row>
    <row r="834" spans="13:17" ht="20.100000000000001" customHeight="1">
      <c r="M834" s="82"/>
      <c r="N834" s="82"/>
      <c r="O834" s="82"/>
      <c r="P834" s="82"/>
      <c r="Q834" s="82"/>
    </row>
    <row r="835" spans="13:17" ht="20.100000000000001" customHeight="1">
      <c r="M835" s="82"/>
      <c r="N835" s="82"/>
      <c r="O835" s="82"/>
      <c r="P835" s="82"/>
      <c r="Q835" s="82"/>
    </row>
    <row r="836" spans="13:17" ht="20.100000000000001" customHeight="1">
      <c r="M836" s="82"/>
      <c r="N836" s="82"/>
      <c r="O836" s="82"/>
      <c r="P836" s="82"/>
      <c r="Q836" s="82"/>
    </row>
    <row r="837" spans="13:17" ht="20.100000000000001" customHeight="1">
      <c r="M837" s="82"/>
      <c r="N837" s="82"/>
      <c r="O837" s="82"/>
      <c r="P837" s="82"/>
      <c r="Q837" s="82"/>
    </row>
    <row r="838" spans="13:17" ht="20.100000000000001" customHeight="1">
      <c r="M838" s="82"/>
      <c r="N838" s="82"/>
      <c r="O838" s="82"/>
      <c r="P838" s="82"/>
      <c r="Q838" s="82"/>
    </row>
    <row r="839" spans="13:17" ht="20.100000000000001" customHeight="1">
      <c r="M839" s="82"/>
      <c r="N839" s="82"/>
      <c r="O839" s="82"/>
      <c r="P839" s="82"/>
      <c r="Q839" s="82"/>
    </row>
    <row r="840" spans="13:17" ht="20.100000000000001" customHeight="1">
      <c r="M840" s="82"/>
      <c r="N840" s="82"/>
      <c r="O840" s="82"/>
      <c r="P840" s="82"/>
      <c r="Q840" s="82"/>
    </row>
    <row r="841" spans="13:17" ht="20.100000000000001" customHeight="1">
      <c r="M841" s="82"/>
      <c r="N841" s="82"/>
      <c r="O841" s="82"/>
      <c r="P841" s="82"/>
      <c r="Q841" s="82"/>
    </row>
    <row r="842" spans="13:17" ht="20.100000000000001" customHeight="1">
      <c r="M842" s="82"/>
      <c r="N842" s="82"/>
      <c r="O842" s="82"/>
      <c r="P842" s="82"/>
      <c r="Q842" s="82"/>
    </row>
    <row r="843" spans="13:17" ht="20.100000000000001" customHeight="1">
      <c r="M843" s="82"/>
      <c r="N843" s="82"/>
      <c r="O843" s="82"/>
      <c r="P843" s="82"/>
      <c r="Q843" s="82"/>
    </row>
    <row r="844" spans="13:17" ht="20.100000000000001" customHeight="1">
      <c r="M844" s="82"/>
      <c r="N844" s="82"/>
      <c r="O844" s="82"/>
      <c r="P844" s="82"/>
      <c r="Q844" s="82"/>
    </row>
    <row r="845" spans="13:17" ht="20.100000000000001" customHeight="1">
      <c r="M845" s="82"/>
      <c r="N845" s="82"/>
      <c r="O845" s="82"/>
      <c r="P845" s="82"/>
      <c r="Q845" s="82"/>
    </row>
    <row r="846" spans="13:17" ht="20.100000000000001" customHeight="1">
      <c r="M846" s="82"/>
      <c r="N846" s="82"/>
      <c r="O846" s="82"/>
      <c r="P846" s="82"/>
      <c r="Q846" s="82"/>
    </row>
    <row r="847" spans="13:17" ht="20.100000000000001" customHeight="1">
      <c r="M847" s="82"/>
      <c r="N847" s="82"/>
      <c r="O847" s="82"/>
      <c r="P847" s="82"/>
      <c r="Q847" s="82"/>
    </row>
    <row r="848" spans="13:17" ht="20.100000000000001" customHeight="1">
      <c r="M848" s="82"/>
      <c r="N848" s="82"/>
      <c r="O848" s="82"/>
      <c r="P848" s="82"/>
      <c r="Q848" s="82"/>
    </row>
    <row r="849" spans="13:17" ht="20.100000000000001" customHeight="1">
      <c r="M849" s="82"/>
      <c r="N849" s="82"/>
      <c r="O849" s="82"/>
      <c r="P849" s="82"/>
      <c r="Q849" s="82"/>
    </row>
    <row r="850" spans="13:17" ht="20.100000000000001" customHeight="1">
      <c r="M850" s="82"/>
      <c r="N850" s="82"/>
      <c r="O850" s="82"/>
      <c r="P850" s="82"/>
      <c r="Q850" s="82"/>
    </row>
    <row r="851" spans="13:17" ht="20.100000000000001" customHeight="1">
      <c r="M851" s="82"/>
      <c r="N851" s="82"/>
      <c r="O851" s="82"/>
      <c r="P851" s="82"/>
      <c r="Q851" s="82"/>
    </row>
    <row r="852" spans="13:17" ht="20.100000000000001" customHeight="1">
      <c r="M852" s="82"/>
      <c r="N852" s="82"/>
      <c r="O852" s="82"/>
      <c r="P852" s="82"/>
      <c r="Q852" s="82"/>
    </row>
    <row r="853" spans="13:17" ht="20.100000000000001" customHeight="1">
      <c r="M853" s="82"/>
      <c r="N853" s="82"/>
      <c r="O853" s="82"/>
      <c r="P853" s="82"/>
      <c r="Q853" s="82"/>
    </row>
    <row r="854" spans="13:17" ht="20.100000000000001" customHeight="1">
      <c r="M854" s="82"/>
      <c r="N854" s="82"/>
      <c r="O854" s="82"/>
      <c r="P854" s="82"/>
      <c r="Q854" s="82"/>
    </row>
    <row r="855" spans="13:17" ht="20.100000000000001" customHeight="1">
      <c r="M855" s="82"/>
      <c r="N855" s="82"/>
      <c r="O855" s="82"/>
      <c r="P855" s="82"/>
      <c r="Q855" s="82"/>
    </row>
    <row r="856" spans="13:17" ht="20.100000000000001" customHeight="1">
      <c r="M856" s="82"/>
      <c r="N856" s="82"/>
      <c r="O856" s="82"/>
      <c r="P856" s="82"/>
      <c r="Q856" s="82"/>
    </row>
    <row r="857" spans="13:17" ht="20.100000000000001" customHeight="1">
      <c r="M857" s="82"/>
      <c r="N857" s="82"/>
      <c r="O857" s="82"/>
      <c r="P857" s="82"/>
      <c r="Q857" s="82"/>
    </row>
    <row r="858" spans="13:17" ht="20.100000000000001" customHeight="1">
      <c r="M858" s="82"/>
      <c r="N858" s="82"/>
      <c r="O858" s="82"/>
      <c r="P858" s="82"/>
      <c r="Q858" s="82"/>
    </row>
    <row r="859" spans="13:17" ht="20.100000000000001" customHeight="1">
      <c r="M859" s="82"/>
      <c r="N859" s="82"/>
      <c r="O859" s="82"/>
      <c r="P859" s="82"/>
      <c r="Q859" s="82"/>
    </row>
    <row r="860" spans="13:17" ht="20.100000000000001" customHeight="1">
      <c r="M860" s="82"/>
      <c r="N860" s="82"/>
      <c r="O860" s="82"/>
      <c r="P860" s="82"/>
      <c r="Q860" s="82"/>
    </row>
    <row r="861" spans="13:17" ht="20.100000000000001" customHeight="1">
      <c r="M861" s="82"/>
      <c r="N861" s="82"/>
      <c r="O861" s="82"/>
      <c r="P861" s="82"/>
      <c r="Q861" s="82"/>
    </row>
    <row r="862" spans="13:17" ht="20.100000000000001" customHeight="1">
      <c r="M862" s="82"/>
      <c r="N862" s="82"/>
      <c r="O862" s="82"/>
      <c r="P862" s="82"/>
      <c r="Q862" s="82"/>
    </row>
    <row r="863" spans="13:17" ht="20.100000000000001" customHeight="1">
      <c r="M863" s="82"/>
      <c r="N863" s="82"/>
      <c r="O863" s="82"/>
      <c r="P863" s="82"/>
      <c r="Q863" s="82"/>
    </row>
    <row r="864" spans="13:17" ht="20.100000000000001" customHeight="1">
      <c r="M864" s="82"/>
      <c r="N864" s="82"/>
      <c r="O864" s="82"/>
      <c r="P864" s="82"/>
      <c r="Q864" s="82"/>
    </row>
    <row r="865" spans="13:17" ht="20.100000000000001" customHeight="1">
      <c r="M865" s="82"/>
      <c r="N865" s="82"/>
      <c r="O865" s="82"/>
      <c r="P865" s="82"/>
      <c r="Q865" s="82"/>
    </row>
    <row r="866" spans="13:17" ht="20.100000000000001" customHeight="1">
      <c r="M866" s="82"/>
      <c r="N866" s="82"/>
      <c r="O866" s="82"/>
      <c r="P866" s="82"/>
      <c r="Q866" s="82"/>
    </row>
    <row r="867" spans="13:17" ht="20.100000000000001" customHeight="1">
      <c r="M867" s="82"/>
      <c r="N867" s="82"/>
      <c r="O867" s="82"/>
      <c r="P867" s="82"/>
      <c r="Q867" s="82"/>
    </row>
    <row r="868" spans="13:17" ht="20.100000000000001" customHeight="1">
      <c r="M868" s="82"/>
      <c r="N868" s="82"/>
      <c r="O868" s="82"/>
      <c r="P868" s="82"/>
      <c r="Q868" s="82"/>
    </row>
    <row r="869" spans="13:17" ht="20.100000000000001" customHeight="1">
      <c r="M869" s="82"/>
      <c r="N869" s="82"/>
      <c r="O869" s="82"/>
      <c r="P869" s="82"/>
      <c r="Q869" s="82"/>
    </row>
    <row r="870" spans="13:17" ht="20.100000000000001" customHeight="1">
      <c r="M870" s="82"/>
      <c r="N870" s="82"/>
      <c r="O870" s="82"/>
      <c r="P870" s="82"/>
      <c r="Q870" s="82"/>
    </row>
    <row r="871" spans="13:17" ht="20.100000000000001" customHeight="1">
      <c r="M871" s="82"/>
      <c r="N871" s="82"/>
      <c r="O871" s="82"/>
      <c r="P871" s="82"/>
      <c r="Q871" s="82"/>
    </row>
    <row r="872" spans="13:17" ht="20.100000000000001" customHeight="1">
      <c r="M872" s="82"/>
      <c r="N872" s="82"/>
      <c r="O872" s="82"/>
      <c r="P872" s="82"/>
      <c r="Q872" s="82"/>
    </row>
    <row r="873" spans="13:17" ht="20.100000000000001" customHeight="1">
      <c r="M873" s="82"/>
      <c r="N873" s="82"/>
      <c r="O873" s="82"/>
      <c r="P873" s="82"/>
      <c r="Q873" s="82"/>
    </row>
    <row r="874" spans="13:17" ht="20.100000000000001" customHeight="1">
      <c r="M874" s="82"/>
      <c r="N874" s="82"/>
      <c r="O874" s="82"/>
      <c r="P874" s="82"/>
      <c r="Q874" s="82"/>
    </row>
    <row r="875" spans="13:17" ht="20.100000000000001" customHeight="1">
      <c r="M875" s="82"/>
      <c r="N875" s="82"/>
      <c r="O875" s="82"/>
      <c r="P875" s="82"/>
      <c r="Q875" s="82"/>
    </row>
    <row r="876" spans="13:17" ht="20.100000000000001" customHeight="1">
      <c r="M876" s="82"/>
      <c r="N876" s="82"/>
      <c r="O876" s="82"/>
      <c r="P876" s="82"/>
      <c r="Q876" s="82"/>
    </row>
    <row r="877" spans="13:17" ht="20.100000000000001" customHeight="1">
      <c r="M877" s="82"/>
      <c r="N877" s="82"/>
      <c r="O877" s="82"/>
      <c r="P877" s="82"/>
      <c r="Q877" s="82"/>
    </row>
    <row r="878" spans="13:17" ht="20.100000000000001" customHeight="1">
      <c r="M878" s="82"/>
      <c r="N878" s="82"/>
      <c r="O878" s="82"/>
      <c r="P878" s="82"/>
      <c r="Q878" s="82"/>
    </row>
    <row r="879" spans="13:17" ht="20.100000000000001" customHeight="1">
      <c r="M879" s="82"/>
      <c r="N879" s="82"/>
      <c r="O879" s="82"/>
      <c r="P879" s="82"/>
      <c r="Q879" s="82"/>
    </row>
    <row r="880" spans="13:17" ht="20.100000000000001" customHeight="1">
      <c r="M880" s="82"/>
      <c r="N880" s="82"/>
      <c r="O880" s="82"/>
      <c r="P880" s="82"/>
      <c r="Q880" s="82"/>
    </row>
    <row r="881" spans="13:17" ht="20.100000000000001" customHeight="1">
      <c r="M881" s="82"/>
      <c r="N881" s="82"/>
      <c r="O881" s="82"/>
      <c r="P881" s="82"/>
      <c r="Q881" s="82"/>
    </row>
    <row r="882" spans="13:17" ht="20.100000000000001" customHeight="1">
      <c r="M882" s="82"/>
      <c r="N882" s="82"/>
      <c r="O882" s="82"/>
      <c r="P882" s="82"/>
      <c r="Q882" s="82"/>
    </row>
    <row r="883" spans="13:17" ht="20.100000000000001" customHeight="1">
      <c r="M883" s="82"/>
      <c r="N883" s="82"/>
      <c r="O883" s="82"/>
      <c r="P883" s="82"/>
      <c r="Q883" s="82"/>
    </row>
    <row r="884" spans="13:17" ht="20.100000000000001" customHeight="1">
      <c r="M884" s="82"/>
      <c r="N884" s="82"/>
      <c r="O884" s="82"/>
      <c r="P884" s="82"/>
      <c r="Q884" s="82"/>
    </row>
    <row r="885" spans="13:17" ht="20.100000000000001" customHeight="1">
      <c r="M885" s="82"/>
      <c r="N885" s="82"/>
      <c r="O885" s="82"/>
      <c r="P885" s="82"/>
      <c r="Q885" s="82"/>
    </row>
    <row r="886" spans="13:17" ht="20.100000000000001" customHeight="1">
      <c r="M886" s="82"/>
      <c r="N886" s="82"/>
      <c r="O886" s="82"/>
      <c r="P886" s="82"/>
      <c r="Q886" s="82"/>
    </row>
    <row r="887" spans="13:17" ht="20.100000000000001" customHeight="1">
      <c r="M887" s="82"/>
      <c r="N887" s="82"/>
      <c r="O887" s="82"/>
      <c r="P887" s="82"/>
      <c r="Q887" s="82"/>
    </row>
    <row r="888" spans="13:17" ht="20.100000000000001" customHeight="1">
      <c r="M888" s="82"/>
      <c r="N888" s="82"/>
      <c r="O888" s="82"/>
      <c r="P888" s="82"/>
      <c r="Q888" s="82"/>
    </row>
    <row r="889" spans="13:17" ht="20.100000000000001" customHeight="1">
      <c r="M889" s="82"/>
      <c r="N889" s="82"/>
      <c r="O889" s="82"/>
      <c r="P889" s="82"/>
      <c r="Q889" s="82"/>
    </row>
    <row r="890" spans="13:17" ht="20.100000000000001" customHeight="1">
      <c r="M890" s="82"/>
      <c r="N890" s="82"/>
      <c r="O890" s="82"/>
      <c r="P890" s="82"/>
      <c r="Q890" s="82"/>
    </row>
    <row r="891" spans="13:17" ht="20.100000000000001" customHeight="1">
      <c r="M891" s="82"/>
      <c r="N891" s="82"/>
      <c r="O891" s="82"/>
      <c r="P891" s="82"/>
      <c r="Q891" s="82"/>
    </row>
    <row r="892" spans="13:17" ht="20.100000000000001" customHeight="1">
      <c r="M892" s="82"/>
      <c r="N892" s="82"/>
      <c r="O892" s="82"/>
      <c r="P892" s="82"/>
      <c r="Q892" s="82"/>
    </row>
    <row r="893" spans="13:17" ht="20.100000000000001" customHeight="1">
      <c r="M893" s="82"/>
      <c r="N893" s="82"/>
      <c r="O893" s="82"/>
      <c r="P893" s="82"/>
      <c r="Q893" s="82"/>
    </row>
    <row r="894" spans="13:17" ht="20.100000000000001" customHeight="1">
      <c r="M894" s="82"/>
      <c r="N894" s="82"/>
      <c r="O894" s="82"/>
      <c r="P894" s="82"/>
      <c r="Q894" s="82"/>
    </row>
    <row r="895" spans="13:17" ht="20.100000000000001" customHeight="1">
      <c r="M895" s="82"/>
      <c r="N895" s="82"/>
      <c r="O895" s="82"/>
      <c r="P895" s="82"/>
      <c r="Q895" s="82"/>
    </row>
    <row r="896" spans="13:17" ht="20.100000000000001" customHeight="1">
      <c r="M896" s="82"/>
      <c r="N896" s="82"/>
      <c r="O896" s="82"/>
      <c r="P896" s="82"/>
      <c r="Q896" s="82"/>
    </row>
    <row r="897" spans="13:17" ht="20.100000000000001" customHeight="1">
      <c r="M897" s="82"/>
      <c r="N897" s="82"/>
      <c r="O897" s="82"/>
      <c r="P897" s="82"/>
      <c r="Q897" s="82"/>
    </row>
    <row r="898" spans="13:17" ht="20.100000000000001" customHeight="1">
      <c r="M898" s="82"/>
      <c r="N898" s="82"/>
      <c r="O898" s="82"/>
      <c r="P898" s="82"/>
      <c r="Q898" s="82"/>
    </row>
    <row r="899" spans="13:17" ht="20.100000000000001" customHeight="1">
      <c r="M899" s="82"/>
      <c r="N899" s="82"/>
      <c r="O899" s="82"/>
      <c r="P899" s="82"/>
      <c r="Q899" s="82"/>
    </row>
    <row r="900" spans="13:17" ht="20.100000000000001" customHeight="1">
      <c r="M900" s="82"/>
      <c r="N900" s="82"/>
      <c r="O900" s="82"/>
      <c r="P900" s="82"/>
      <c r="Q900" s="82"/>
    </row>
    <row r="901" spans="13:17" ht="20.100000000000001" customHeight="1">
      <c r="M901" s="82"/>
      <c r="N901" s="82"/>
      <c r="O901" s="82"/>
      <c r="P901" s="82"/>
      <c r="Q901" s="82"/>
    </row>
    <row r="902" spans="13:17" ht="20.100000000000001" customHeight="1">
      <c r="M902" s="82"/>
      <c r="N902" s="82"/>
      <c r="O902" s="82"/>
      <c r="P902" s="82"/>
      <c r="Q902" s="82"/>
    </row>
    <row r="903" spans="13:17" ht="20.100000000000001" customHeight="1">
      <c r="M903" s="82"/>
      <c r="N903" s="82"/>
      <c r="O903" s="82"/>
      <c r="P903" s="82"/>
      <c r="Q903" s="82"/>
    </row>
    <row r="904" spans="13:17" ht="20.100000000000001" customHeight="1">
      <c r="M904" s="82"/>
      <c r="N904" s="82"/>
      <c r="O904" s="82"/>
      <c r="P904" s="82"/>
      <c r="Q904" s="82"/>
    </row>
    <row r="905" spans="13:17" ht="20.100000000000001" customHeight="1">
      <c r="M905" s="82"/>
      <c r="N905" s="82"/>
      <c r="O905" s="82"/>
      <c r="P905" s="82"/>
      <c r="Q905" s="82"/>
    </row>
    <row r="906" spans="13:17" ht="20.100000000000001" customHeight="1">
      <c r="M906" s="82"/>
      <c r="N906" s="82"/>
      <c r="O906" s="82"/>
      <c r="P906" s="82"/>
      <c r="Q906" s="82"/>
    </row>
    <row r="907" spans="13:17" ht="20.100000000000001" customHeight="1">
      <c r="M907" s="82"/>
      <c r="N907" s="82"/>
      <c r="O907" s="82"/>
      <c r="P907" s="82"/>
      <c r="Q907" s="82"/>
    </row>
    <row r="908" spans="13:17" ht="20.100000000000001" customHeight="1">
      <c r="M908" s="82"/>
      <c r="N908" s="82"/>
      <c r="O908" s="82"/>
      <c r="P908" s="82"/>
      <c r="Q908" s="82"/>
    </row>
    <row r="909" spans="13:17" ht="20.100000000000001" customHeight="1">
      <c r="M909" s="82"/>
      <c r="N909" s="82"/>
      <c r="O909" s="82"/>
      <c r="P909" s="82"/>
      <c r="Q909" s="82"/>
    </row>
    <row r="910" spans="13:17" ht="20.100000000000001" customHeight="1">
      <c r="M910" s="82"/>
      <c r="N910" s="82"/>
      <c r="O910" s="82"/>
      <c r="P910" s="82"/>
      <c r="Q910" s="82"/>
    </row>
    <row r="911" spans="13:17" ht="20.100000000000001" customHeight="1">
      <c r="M911" s="82"/>
      <c r="N911" s="82"/>
      <c r="O911" s="82"/>
      <c r="P911" s="82"/>
      <c r="Q911" s="82"/>
    </row>
    <row r="912" spans="13:17" ht="20.100000000000001" customHeight="1">
      <c r="M912" s="82"/>
      <c r="N912" s="82"/>
      <c r="O912" s="82"/>
      <c r="P912" s="82"/>
      <c r="Q912" s="82"/>
    </row>
    <row r="913" spans="13:17" ht="20.100000000000001" customHeight="1">
      <c r="M913" s="82"/>
      <c r="N913" s="82"/>
      <c r="O913" s="82"/>
      <c r="P913" s="82"/>
      <c r="Q913" s="82"/>
    </row>
    <row r="914" spans="13:17" ht="20.100000000000001" customHeight="1">
      <c r="M914" s="82"/>
      <c r="N914" s="82"/>
      <c r="O914" s="82"/>
      <c r="P914" s="82"/>
      <c r="Q914" s="82"/>
    </row>
    <row r="915" spans="13:17" ht="20.100000000000001" customHeight="1">
      <c r="M915" s="82"/>
      <c r="N915" s="82"/>
      <c r="O915" s="82"/>
      <c r="P915" s="82"/>
      <c r="Q915" s="82"/>
    </row>
    <row r="916" spans="13:17" ht="20.100000000000001" customHeight="1">
      <c r="M916" s="82"/>
      <c r="N916" s="82"/>
      <c r="O916" s="82"/>
      <c r="P916" s="82"/>
      <c r="Q916" s="82"/>
    </row>
    <row r="917" spans="13:17" ht="20.100000000000001" customHeight="1">
      <c r="M917" s="82"/>
      <c r="N917" s="82"/>
      <c r="O917" s="82"/>
      <c r="P917" s="82"/>
      <c r="Q917" s="82"/>
    </row>
    <row r="918" spans="13:17" ht="20.100000000000001" customHeight="1">
      <c r="M918" s="82"/>
      <c r="N918" s="82"/>
      <c r="O918" s="82"/>
      <c r="P918" s="82"/>
      <c r="Q918" s="82"/>
    </row>
    <row r="919" spans="13:17" ht="20.100000000000001" customHeight="1">
      <c r="M919" s="82"/>
      <c r="N919" s="82"/>
      <c r="O919" s="82"/>
      <c r="P919" s="82"/>
      <c r="Q919" s="82"/>
    </row>
    <row r="920" spans="13:17" ht="20.100000000000001" customHeight="1">
      <c r="M920" s="82"/>
      <c r="N920" s="82"/>
      <c r="O920" s="82"/>
      <c r="P920" s="82"/>
      <c r="Q920" s="82"/>
    </row>
    <row r="921" spans="13:17" ht="20.100000000000001" customHeight="1">
      <c r="M921" s="82"/>
      <c r="N921" s="82"/>
      <c r="O921" s="82"/>
      <c r="P921" s="82"/>
      <c r="Q921" s="82"/>
    </row>
    <row r="922" spans="13:17" ht="20.100000000000001" customHeight="1">
      <c r="M922" s="82"/>
      <c r="N922" s="82"/>
      <c r="O922" s="82"/>
      <c r="P922" s="82"/>
      <c r="Q922" s="82"/>
    </row>
    <row r="923" spans="13:17" ht="20.100000000000001" customHeight="1">
      <c r="M923" s="82"/>
      <c r="N923" s="82"/>
      <c r="O923" s="82"/>
      <c r="P923" s="82"/>
      <c r="Q923" s="82"/>
    </row>
    <row r="924" spans="13:17" ht="20.100000000000001" customHeight="1">
      <c r="M924" s="82"/>
      <c r="N924" s="82"/>
      <c r="O924" s="82"/>
      <c r="P924" s="82"/>
      <c r="Q924" s="82"/>
    </row>
    <row r="925" spans="13:17" ht="20.100000000000001" customHeight="1">
      <c r="M925" s="82"/>
      <c r="N925" s="82"/>
      <c r="O925" s="82"/>
      <c r="P925" s="82"/>
      <c r="Q925" s="82"/>
    </row>
    <row r="926" spans="13:17" ht="20.100000000000001" customHeight="1">
      <c r="M926" s="82"/>
      <c r="N926" s="82"/>
      <c r="O926" s="82"/>
      <c r="P926" s="82"/>
      <c r="Q926" s="82"/>
    </row>
    <row r="927" spans="13:17" ht="20.100000000000001" customHeight="1">
      <c r="M927" s="82"/>
      <c r="N927" s="82"/>
      <c r="O927" s="82"/>
      <c r="P927" s="82"/>
      <c r="Q927" s="82"/>
    </row>
    <row r="928" spans="13:17" ht="20.100000000000001" customHeight="1">
      <c r="M928" s="82"/>
      <c r="N928" s="82"/>
      <c r="O928" s="82"/>
      <c r="P928" s="82"/>
      <c r="Q928" s="82"/>
    </row>
    <row r="929" spans="13:17" ht="20.100000000000001" customHeight="1">
      <c r="M929" s="82"/>
      <c r="N929" s="82"/>
      <c r="O929" s="82"/>
      <c r="P929" s="82"/>
      <c r="Q929" s="82"/>
    </row>
    <row r="930" spans="13:17" ht="20.100000000000001" customHeight="1">
      <c r="M930" s="82"/>
      <c r="N930" s="82"/>
      <c r="O930" s="82"/>
      <c r="P930" s="82"/>
      <c r="Q930" s="82"/>
    </row>
    <row r="931" spans="13:17" ht="20.100000000000001" customHeight="1">
      <c r="M931" s="82"/>
      <c r="N931" s="82"/>
      <c r="O931" s="82"/>
      <c r="P931" s="82"/>
      <c r="Q931" s="82"/>
    </row>
    <row r="932" spans="13:17" ht="20.100000000000001" customHeight="1">
      <c r="M932" s="82"/>
      <c r="N932" s="82"/>
      <c r="O932" s="82"/>
      <c r="P932" s="82"/>
      <c r="Q932" s="82"/>
    </row>
    <row r="933" spans="13:17" ht="20.100000000000001" customHeight="1">
      <c r="M933" s="82"/>
      <c r="N933" s="82"/>
      <c r="O933" s="82"/>
      <c r="P933" s="82"/>
      <c r="Q933" s="82"/>
    </row>
    <row r="934" spans="13:17" ht="20.100000000000001" customHeight="1">
      <c r="M934" s="82"/>
      <c r="N934" s="82"/>
      <c r="O934" s="82"/>
      <c r="P934" s="82"/>
      <c r="Q934" s="82"/>
    </row>
    <row r="935" spans="13:17" ht="20.100000000000001" customHeight="1">
      <c r="M935" s="82"/>
      <c r="N935" s="82"/>
      <c r="O935" s="82"/>
      <c r="P935" s="82"/>
      <c r="Q935" s="82"/>
    </row>
    <row r="936" spans="13:17" ht="20.100000000000001" customHeight="1">
      <c r="M936" s="82"/>
      <c r="N936" s="82"/>
      <c r="O936" s="82"/>
      <c r="P936" s="82"/>
      <c r="Q936" s="82"/>
    </row>
    <row r="937" spans="13:17" ht="20.100000000000001" customHeight="1">
      <c r="M937" s="82"/>
      <c r="N937" s="82"/>
      <c r="O937" s="82"/>
      <c r="P937" s="82"/>
      <c r="Q937" s="82"/>
    </row>
    <row r="938" spans="13:17" ht="20.100000000000001" customHeight="1">
      <c r="M938" s="82"/>
      <c r="N938" s="82"/>
      <c r="O938" s="82"/>
      <c r="P938" s="82"/>
      <c r="Q938" s="82"/>
    </row>
    <row r="939" spans="13:17" ht="20.100000000000001" customHeight="1">
      <c r="M939" s="82"/>
      <c r="N939" s="82"/>
      <c r="O939" s="82"/>
      <c r="P939" s="82"/>
      <c r="Q939" s="82"/>
    </row>
    <row r="940" spans="13:17" ht="20.100000000000001" customHeight="1">
      <c r="M940" s="82"/>
      <c r="N940" s="82"/>
      <c r="O940" s="82"/>
      <c r="P940" s="82"/>
      <c r="Q940" s="82"/>
    </row>
    <row r="941" spans="13:17" ht="20.100000000000001" customHeight="1">
      <c r="M941" s="82"/>
      <c r="N941" s="82"/>
      <c r="O941" s="82"/>
      <c r="P941" s="82"/>
      <c r="Q941" s="82"/>
    </row>
    <row r="942" spans="13:17" ht="20.100000000000001" customHeight="1">
      <c r="M942" s="82"/>
      <c r="N942" s="82"/>
      <c r="O942" s="82"/>
      <c r="P942" s="82"/>
      <c r="Q942" s="82"/>
    </row>
    <row r="943" spans="13:17" ht="20.100000000000001" customHeight="1">
      <c r="M943" s="82"/>
      <c r="N943" s="82"/>
      <c r="O943" s="82"/>
      <c r="P943" s="82"/>
      <c r="Q943" s="82"/>
    </row>
    <row r="944" spans="13:17" ht="20.100000000000001" customHeight="1">
      <c r="M944" s="82"/>
      <c r="N944" s="82"/>
      <c r="O944" s="82"/>
      <c r="P944" s="82"/>
      <c r="Q944" s="82"/>
    </row>
    <row r="945" spans="13:17" ht="20.100000000000001" customHeight="1">
      <c r="M945" s="82"/>
      <c r="N945" s="82"/>
      <c r="O945" s="82"/>
      <c r="P945" s="82"/>
      <c r="Q945" s="82"/>
    </row>
    <row r="946" spans="13:17" ht="20.100000000000001" customHeight="1">
      <c r="M946" s="82"/>
      <c r="N946" s="82"/>
      <c r="O946" s="82"/>
      <c r="P946" s="82"/>
      <c r="Q946" s="82"/>
    </row>
    <row r="947" spans="13:17" ht="20.100000000000001" customHeight="1">
      <c r="M947" s="82"/>
      <c r="N947" s="82"/>
      <c r="O947" s="82"/>
      <c r="P947" s="82"/>
      <c r="Q947" s="82"/>
    </row>
    <row r="948" spans="13:17" ht="20.100000000000001" customHeight="1">
      <c r="M948" s="82"/>
      <c r="N948" s="82"/>
      <c r="O948" s="82"/>
      <c r="P948" s="82"/>
      <c r="Q948" s="82"/>
    </row>
    <row r="949" spans="13:17" ht="20.100000000000001" customHeight="1">
      <c r="M949" s="82"/>
      <c r="N949" s="82"/>
      <c r="O949" s="82"/>
      <c r="P949" s="82"/>
      <c r="Q949" s="82"/>
    </row>
    <row r="950" spans="13:17" ht="20.100000000000001" customHeight="1">
      <c r="M950" s="82"/>
      <c r="N950" s="82"/>
      <c r="O950" s="82"/>
      <c r="P950" s="82"/>
      <c r="Q950" s="82"/>
    </row>
    <row r="951" spans="13:17" ht="20.100000000000001" customHeight="1">
      <c r="M951" s="82"/>
      <c r="N951" s="82"/>
      <c r="O951" s="82"/>
      <c r="P951" s="82"/>
      <c r="Q951" s="82"/>
    </row>
    <row r="952" spans="13:17" ht="20.100000000000001" customHeight="1">
      <c r="M952" s="82"/>
      <c r="N952" s="82"/>
      <c r="O952" s="82"/>
      <c r="P952" s="82"/>
      <c r="Q952" s="82"/>
    </row>
    <row r="953" spans="13:17" ht="20.100000000000001" customHeight="1">
      <c r="M953" s="82"/>
      <c r="N953" s="82"/>
      <c r="O953" s="82"/>
      <c r="P953" s="82"/>
      <c r="Q953" s="82"/>
    </row>
    <row r="954" spans="13:17" ht="20.100000000000001" customHeight="1">
      <c r="M954" s="82"/>
      <c r="N954" s="82"/>
      <c r="O954" s="82"/>
      <c r="P954" s="82"/>
      <c r="Q954" s="82"/>
    </row>
    <row r="955" spans="13:17" ht="20.100000000000001" customHeight="1">
      <c r="M955" s="82"/>
      <c r="N955" s="82"/>
      <c r="O955" s="82"/>
      <c r="P955" s="82"/>
      <c r="Q955" s="82"/>
    </row>
    <row r="956" spans="13:17" ht="20.100000000000001" customHeight="1">
      <c r="M956" s="82"/>
      <c r="N956" s="82"/>
      <c r="O956" s="82"/>
      <c r="P956" s="82"/>
      <c r="Q956" s="82"/>
    </row>
    <row r="957" spans="13:17" ht="20.100000000000001" customHeight="1">
      <c r="M957" s="82"/>
      <c r="N957" s="82"/>
      <c r="O957" s="82"/>
      <c r="P957" s="82"/>
      <c r="Q957" s="82"/>
    </row>
    <row r="958" spans="13:17" ht="20.100000000000001" customHeight="1">
      <c r="M958" s="82"/>
      <c r="N958" s="82"/>
      <c r="O958" s="82"/>
      <c r="P958" s="82"/>
      <c r="Q958" s="82"/>
    </row>
    <row r="959" spans="13:17" ht="20.100000000000001" customHeight="1">
      <c r="M959" s="82"/>
      <c r="N959" s="82"/>
      <c r="O959" s="82"/>
      <c r="P959" s="82"/>
      <c r="Q959" s="82"/>
    </row>
    <row r="960" spans="13:17" ht="20.100000000000001" customHeight="1">
      <c r="M960" s="82"/>
      <c r="N960" s="82"/>
      <c r="O960" s="82"/>
      <c r="P960" s="82"/>
      <c r="Q960" s="82"/>
    </row>
    <row r="961" spans="13:17" ht="20.100000000000001" customHeight="1">
      <c r="M961" s="82"/>
      <c r="N961" s="82"/>
      <c r="O961" s="82"/>
      <c r="P961" s="82"/>
      <c r="Q961" s="82"/>
    </row>
    <row r="962" spans="13:17" ht="20.100000000000001" customHeight="1">
      <c r="M962" s="82"/>
      <c r="N962" s="82"/>
      <c r="O962" s="82"/>
      <c r="P962" s="82"/>
      <c r="Q962" s="82"/>
    </row>
    <row r="963" spans="13:17" ht="20.100000000000001" customHeight="1">
      <c r="M963" s="82"/>
      <c r="N963" s="82"/>
      <c r="O963" s="82"/>
      <c r="P963" s="82"/>
      <c r="Q963" s="82"/>
    </row>
    <row r="964" spans="13:17" ht="20.100000000000001" customHeight="1">
      <c r="M964" s="82"/>
      <c r="N964" s="82"/>
      <c r="O964" s="82"/>
      <c r="P964" s="82"/>
      <c r="Q964" s="82"/>
    </row>
    <row r="965" spans="13:17" ht="20.100000000000001" customHeight="1">
      <c r="M965" s="82"/>
      <c r="N965" s="82"/>
      <c r="O965" s="82"/>
      <c r="P965" s="82"/>
      <c r="Q965" s="82"/>
    </row>
    <row r="966" spans="13:17" ht="20.100000000000001" customHeight="1">
      <c r="M966" s="82"/>
      <c r="N966" s="82"/>
      <c r="O966" s="82"/>
      <c r="P966" s="82"/>
      <c r="Q966" s="82"/>
    </row>
    <row r="967" spans="13:17" ht="20.100000000000001" customHeight="1">
      <c r="M967" s="82"/>
      <c r="N967" s="82"/>
      <c r="O967" s="82"/>
      <c r="P967" s="82"/>
      <c r="Q967" s="82"/>
    </row>
    <row r="968" spans="13:17" ht="20.100000000000001" customHeight="1">
      <c r="M968" s="82"/>
      <c r="N968" s="82"/>
      <c r="O968" s="82"/>
      <c r="P968" s="82"/>
      <c r="Q968" s="82"/>
    </row>
    <row r="969" spans="13:17" ht="20.100000000000001" customHeight="1">
      <c r="M969" s="82"/>
      <c r="N969" s="82"/>
      <c r="O969" s="82"/>
      <c r="P969" s="82"/>
      <c r="Q969" s="82"/>
    </row>
    <row r="970" spans="13:17" ht="20.100000000000001" customHeight="1">
      <c r="M970" s="82"/>
      <c r="N970" s="82"/>
      <c r="O970" s="82"/>
      <c r="P970" s="82"/>
      <c r="Q970" s="82"/>
    </row>
    <row r="971" spans="13:17" ht="20.100000000000001" customHeight="1">
      <c r="M971" s="82"/>
      <c r="N971" s="82"/>
      <c r="O971" s="82"/>
      <c r="P971" s="82"/>
      <c r="Q971" s="82"/>
    </row>
    <row r="972" spans="13:17" ht="20.100000000000001" customHeight="1">
      <c r="M972" s="82"/>
      <c r="N972" s="82"/>
      <c r="O972" s="82"/>
      <c r="P972" s="82"/>
      <c r="Q972" s="82"/>
    </row>
    <row r="973" spans="13:17" ht="20.100000000000001" customHeight="1">
      <c r="M973" s="82"/>
      <c r="N973" s="82"/>
      <c r="O973" s="82"/>
      <c r="P973" s="82"/>
      <c r="Q973" s="82"/>
    </row>
    <row r="974" spans="13:17" ht="20.100000000000001" customHeight="1">
      <c r="M974" s="82"/>
      <c r="N974" s="82"/>
      <c r="O974" s="82"/>
      <c r="P974" s="82"/>
      <c r="Q974" s="82"/>
    </row>
    <row r="975" spans="13:17" ht="20.100000000000001" customHeight="1">
      <c r="M975" s="82"/>
      <c r="N975" s="82"/>
      <c r="O975" s="82"/>
      <c r="P975" s="82"/>
      <c r="Q975" s="82"/>
    </row>
    <row r="976" spans="13:17" ht="20.100000000000001" customHeight="1">
      <c r="M976" s="82"/>
      <c r="N976" s="82"/>
      <c r="O976" s="82"/>
      <c r="P976" s="82"/>
      <c r="Q976" s="82"/>
    </row>
    <row r="977" spans="13:17" ht="20.100000000000001" customHeight="1">
      <c r="M977" s="82"/>
      <c r="N977" s="82"/>
      <c r="O977" s="82"/>
      <c r="P977" s="82"/>
      <c r="Q977" s="82"/>
    </row>
    <row r="978" spans="13:17" ht="20.100000000000001" customHeight="1">
      <c r="M978" s="82"/>
      <c r="N978" s="82"/>
      <c r="O978" s="82"/>
      <c r="P978" s="82"/>
      <c r="Q978" s="82"/>
    </row>
    <row r="979" spans="13:17" ht="20.100000000000001" customHeight="1">
      <c r="M979" s="82"/>
      <c r="N979" s="82"/>
      <c r="O979" s="82"/>
      <c r="P979" s="82"/>
      <c r="Q979" s="82"/>
    </row>
    <row r="980" spans="13:17" ht="20.100000000000001" customHeight="1">
      <c r="M980" s="82"/>
      <c r="N980" s="82"/>
      <c r="O980" s="82"/>
      <c r="P980" s="82"/>
      <c r="Q980" s="82"/>
    </row>
    <row r="981" spans="13:17" ht="20.100000000000001" customHeight="1">
      <c r="M981" s="82"/>
      <c r="N981" s="82"/>
      <c r="O981" s="82"/>
      <c r="P981" s="82"/>
      <c r="Q981" s="82"/>
    </row>
    <row r="982" spans="13:17" ht="20.100000000000001" customHeight="1">
      <c r="M982" s="82"/>
      <c r="N982" s="82"/>
      <c r="O982" s="82"/>
      <c r="P982" s="82"/>
      <c r="Q982" s="82"/>
    </row>
    <row r="983" spans="13:17" ht="20.100000000000001" customHeight="1">
      <c r="M983" s="82"/>
      <c r="N983" s="82"/>
      <c r="O983" s="82"/>
      <c r="P983" s="82"/>
      <c r="Q983" s="82"/>
    </row>
    <row r="984" spans="13:17" ht="20.100000000000001" customHeight="1">
      <c r="M984" s="82"/>
      <c r="N984" s="82"/>
      <c r="O984" s="82"/>
      <c r="P984" s="82"/>
      <c r="Q984" s="82"/>
    </row>
    <row r="985" spans="13:17" ht="20.100000000000001" customHeight="1">
      <c r="M985" s="82"/>
      <c r="N985" s="82"/>
      <c r="O985" s="82"/>
      <c r="P985" s="82"/>
      <c r="Q985" s="82"/>
    </row>
    <row r="986" spans="13:17" ht="20.100000000000001" customHeight="1">
      <c r="M986" s="82"/>
      <c r="N986" s="82"/>
      <c r="O986" s="82"/>
      <c r="P986" s="82"/>
      <c r="Q986" s="82"/>
    </row>
    <row r="987" spans="13:17" ht="20.100000000000001" customHeight="1">
      <c r="M987" s="82"/>
      <c r="N987" s="82"/>
      <c r="O987" s="82"/>
      <c r="P987" s="82"/>
      <c r="Q987" s="82"/>
    </row>
    <row r="988" spans="13:17" ht="20.100000000000001" customHeight="1">
      <c r="M988" s="82"/>
      <c r="N988" s="82"/>
      <c r="O988" s="82"/>
      <c r="P988" s="82"/>
      <c r="Q988" s="82"/>
    </row>
    <row r="989" spans="13:17" ht="20.100000000000001" customHeight="1">
      <c r="M989" s="82"/>
      <c r="N989" s="82"/>
      <c r="O989" s="82"/>
      <c r="P989" s="82"/>
      <c r="Q989" s="82"/>
    </row>
    <row r="990" spans="13:17" ht="20.100000000000001" customHeight="1">
      <c r="M990" s="82"/>
      <c r="N990" s="82"/>
      <c r="O990" s="82"/>
      <c r="P990" s="82"/>
      <c r="Q990" s="82"/>
    </row>
    <row r="991" spans="13:17" ht="20.100000000000001" customHeight="1">
      <c r="M991" s="82"/>
      <c r="N991" s="82"/>
      <c r="O991" s="82"/>
      <c r="P991" s="82"/>
      <c r="Q991" s="82"/>
    </row>
    <row r="992" spans="13:17" ht="20.100000000000001" customHeight="1">
      <c r="M992" s="82"/>
      <c r="N992" s="82"/>
      <c r="O992" s="82"/>
      <c r="P992" s="82"/>
      <c r="Q992" s="82"/>
    </row>
    <row r="993" spans="13:17" ht="20.100000000000001" customHeight="1">
      <c r="M993" s="82"/>
      <c r="N993" s="82"/>
      <c r="O993" s="82"/>
      <c r="P993" s="82"/>
      <c r="Q993" s="82"/>
    </row>
    <row r="994" spans="13:17" ht="20.100000000000001" customHeight="1">
      <c r="M994" s="82"/>
      <c r="N994" s="82"/>
      <c r="O994" s="82"/>
      <c r="P994" s="82"/>
      <c r="Q994" s="82"/>
    </row>
    <row r="995" spans="13:17" ht="20.100000000000001" customHeight="1">
      <c r="M995" s="82"/>
      <c r="N995" s="82"/>
      <c r="O995" s="82"/>
      <c r="P995" s="82"/>
      <c r="Q995" s="82"/>
    </row>
    <row r="996" spans="13:17" ht="20.100000000000001" customHeight="1">
      <c r="M996" s="82"/>
      <c r="N996" s="82"/>
      <c r="O996" s="82"/>
      <c r="P996" s="82"/>
      <c r="Q996" s="82"/>
    </row>
    <row r="997" spans="13:17" ht="20.100000000000001" customHeight="1">
      <c r="M997" s="82"/>
      <c r="N997" s="82"/>
      <c r="O997" s="82"/>
      <c r="P997" s="82"/>
      <c r="Q997" s="82"/>
    </row>
    <row r="998" spans="13:17" ht="20.100000000000001" customHeight="1">
      <c r="M998" s="82"/>
      <c r="N998" s="82"/>
      <c r="O998" s="82"/>
      <c r="P998" s="82"/>
      <c r="Q998" s="82"/>
    </row>
    <row r="999" spans="13:17" ht="20.100000000000001" customHeight="1">
      <c r="M999" s="82"/>
      <c r="N999" s="82"/>
      <c r="O999" s="82"/>
      <c r="P999" s="82"/>
      <c r="Q999" s="82"/>
    </row>
    <row r="1000" spans="13:17" ht="20.100000000000001" customHeight="1">
      <c r="M1000" s="82"/>
      <c r="N1000" s="82"/>
      <c r="O1000" s="82"/>
      <c r="P1000" s="82"/>
      <c r="Q1000" s="82"/>
    </row>
    <row r="1001" spans="13:17" ht="20.100000000000001" customHeight="1">
      <c r="M1001" s="82"/>
      <c r="N1001" s="82"/>
      <c r="O1001" s="82"/>
      <c r="P1001" s="82"/>
      <c r="Q1001" s="82"/>
    </row>
    <row r="1002" spans="13:17" ht="20.100000000000001" customHeight="1">
      <c r="M1002" s="82"/>
      <c r="N1002" s="82"/>
      <c r="O1002" s="82"/>
      <c r="P1002" s="82"/>
      <c r="Q1002" s="82"/>
    </row>
    <row r="1003" spans="13:17" ht="20.100000000000001" customHeight="1">
      <c r="M1003" s="82"/>
      <c r="N1003" s="82"/>
      <c r="O1003" s="82"/>
      <c r="P1003" s="82"/>
      <c r="Q1003" s="82"/>
    </row>
    <row r="1004" spans="13:17" ht="20.100000000000001" customHeight="1">
      <c r="M1004" s="82"/>
      <c r="N1004" s="82"/>
      <c r="O1004" s="82"/>
      <c r="P1004" s="82"/>
      <c r="Q1004" s="82"/>
    </row>
    <row r="1005" spans="13:17" ht="20.100000000000001" customHeight="1">
      <c r="M1005" s="82"/>
      <c r="N1005" s="82"/>
      <c r="O1005" s="82"/>
      <c r="P1005" s="82"/>
      <c r="Q1005" s="82"/>
    </row>
    <row r="1006" spans="13:17" ht="20.100000000000001" customHeight="1">
      <c r="M1006" s="82"/>
      <c r="N1006" s="82"/>
      <c r="O1006" s="82"/>
      <c r="P1006" s="82"/>
      <c r="Q1006" s="82"/>
    </row>
    <row r="1007" spans="13:17" ht="20.100000000000001" customHeight="1">
      <c r="M1007" s="82"/>
      <c r="N1007" s="82"/>
      <c r="O1007" s="82"/>
      <c r="P1007" s="82"/>
      <c r="Q1007" s="82"/>
    </row>
    <row r="1008" spans="13:17" ht="20.100000000000001" customHeight="1">
      <c r="M1008" s="82"/>
      <c r="N1008" s="82"/>
      <c r="O1008" s="82"/>
      <c r="P1008" s="82"/>
      <c r="Q1008" s="82"/>
    </row>
    <row r="1009" spans="13:17" ht="20.100000000000001" customHeight="1">
      <c r="M1009" s="82"/>
      <c r="N1009" s="82"/>
      <c r="O1009" s="82"/>
      <c r="P1009" s="82"/>
      <c r="Q1009" s="82"/>
    </row>
    <row r="1010" spans="13:17" ht="20.100000000000001" customHeight="1">
      <c r="M1010" s="82"/>
      <c r="N1010" s="82"/>
      <c r="O1010" s="82"/>
      <c r="P1010" s="82"/>
      <c r="Q1010" s="82"/>
    </row>
    <row r="1011" spans="13:17" ht="20.100000000000001" customHeight="1">
      <c r="M1011" s="82"/>
      <c r="N1011" s="82"/>
      <c r="O1011" s="82"/>
      <c r="P1011" s="82"/>
      <c r="Q1011" s="82"/>
    </row>
    <row r="1012" spans="13:17" ht="20.100000000000001" customHeight="1">
      <c r="M1012" s="82"/>
      <c r="N1012" s="82"/>
      <c r="O1012" s="82"/>
      <c r="P1012" s="82"/>
      <c r="Q1012" s="82"/>
    </row>
    <row r="1013" spans="13:17" ht="20.100000000000001" customHeight="1">
      <c r="M1013" s="82"/>
      <c r="N1013" s="82"/>
      <c r="O1013" s="82"/>
      <c r="P1013" s="82"/>
      <c r="Q1013" s="82"/>
    </row>
    <row r="1014" spans="13:17" ht="20.100000000000001" customHeight="1">
      <c r="M1014" s="82"/>
      <c r="N1014" s="82"/>
      <c r="O1014" s="82"/>
      <c r="P1014" s="82"/>
      <c r="Q1014" s="82"/>
    </row>
    <row r="1015" spans="13:17" ht="20.100000000000001" customHeight="1">
      <c r="M1015" s="82"/>
      <c r="N1015" s="82"/>
      <c r="O1015" s="82"/>
      <c r="P1015" s="82"/>
      <c r="Q1015" s="82"/>
    </row>
    <row r="1016" spans="13:17" ht="20.100000000000001" customHeight="1">
      <c r="M1016" s="82"/>
      <c r="N1016" s="82"/>
      <c r="O1016" s="82"/>
      <c r="P1016" s="82"/>
      <c r="Q1016" s="82"/>
    </row>
    <row r="1017" spans="13:17" ht="20.100000000000001" customHeight="1">
      <c r="M1017" s="82"/>
      <c r="N1017" s="82"/>
      <c r="O1017" s="82"/>
      <c r="P1017" s="82"/>
      <c r="Q1017" s="82"/>
    </row>
    <row r="1018" spans="13:17" ht="20.100000000000001" customHeight="1">
      <c r="M1018" s="82"/>
      <c r="N1018" s="82"/>
      <c r="O1018" s="82"/>
      <c r="P1018" s="82"/>
      <c r="Q1018" s="82"/>
    </row>
    <row r="1019" spans="13:17" ht="20.100000000000001" customHeight="1">
      <c r="M1019" s="82"/>
      <c r="N1019" s="82"/>
      <c r="O1019" s="82"/>
      <c r="P1019" s="82"/>
      <c r="Q1019" s="82"/>
    </row>
    <row r="1020" spans="13:17" ht="20.100000000000001" customHeight="1">
      <c r="M1020" s="82"/>
      <c r="N1020" s="82"/>
      <c r="O1020" s="82"/>
      <c r="P1020" s="82"/>
      <c r="Q1020" s="82"/>
    </row>
    <row r="1021" spans="13:17" ht="20.100000000000001" customHeight="1">
      <c r="M1021" s="82"/>
      <c r="N1021" s="82"/>
      <c r="O1021" s="82"/>
      <c r="P1021" s="82"/>
      <c r="Q1021" s="82"/>
    </row>
    <row r="1022" spans="13:17" ht="20.100000000000001" customHeight="1">
      <c r="M1022" s="82"/>
      <c r="N1022" s="82"/>
      <c r="O1022" s="82"/>
      <c r="P1022" s="82"/>
      <c r="Q1022" s="82"/>
    </row>
    <row r="1023" spans="13:17" ht="20.100000000000001" customHeight="1">
      <c r="M1023" s="82"/>
      <c r="N1023" s="82"/>
      <c r="O1023" s="82"/>
      <c r="P1023" s="82"/>
      <c r="Q1023" s="82"/>
    </row>
    <row r="1024" spans="13:17" ht="20.100000000000001" customHeight="1">
      <c r="M1024" s="82"/>
      <c r="N1024" s="82"/>
      <c r="O1024" s="82"/>
      <c r="P1024" s="82"/>
      <c r="Q1024" s="82"/>
    </row>
    <row r="1025" spans="13:17" ht="20.100000000000001" customHeight="1">
      <c r="M1025" s="82"/>
      <c r="N1025" s="82"/>
      <c r="O1025" s="82"/>
      <c r="P1025" s="82"/>
      <c r="Q1025" s="82"/>
    </row>
    <row r="1026" spans="13:17" ht="20.100000000000001" customHeight="1">
      <c r="M1026" s="82"/>
      <c r="N1026" s="82"/>
      <c r="O1026" s="82"/>
      <c r="P1026" s="82"/>
      <c r="Q1026" s="82"/>
    </row>
    <row r="1027" spans="13:17" ht="20.100000000000001" customHeight="1">
      <c r="M1027" s="82"/>
      <c r="N1027" s="82"/>
      <c r="O1027" s="82"/>
      <c r="P1027" s="82"/>
      <c r="Q1027" s="82"/>
    </row>
    <row r="1028" spans="13:17" ht="20.100000000000001" customHeight="1">
      <c r="M1028" s="82"/>
      <c r="N1028" s="82"/>
      <c r="O1028" s="82"/>
      <c r="P1028" s="82"/>
      <c r="Q1028" s="82"/>
    </row>
    <row r="1029" spans="13:17" ht="20.100000000000001" customHeight="1">
      <c r="M1029" s="82"/>
      <c r="N1029" s="82"/>
      <c r="O1029" s="82"/>
      <c r="P1029" s="82"/>
      <c r="Q1029" s="82"/>
    </row>
    <row r="1030" spans="13:17" ht="20.100000000000001" customHeight="1">
      <c r="M1030" s="82"/>
      <c r="N1030" s="82"/>
      <c r="O1030" s="82"/>
      <c r="P1030" s="82"/>
      <c r="Q1030" s="82"/>
    </row>
    <row r="1031" spans="13:17" ht="20.100000000000001" customHeight="1">
      <c r="M1031" s="82"/>
      <c r="N1031" s="82"/>
      <c r="O1031" s="82"/>
      <c r="P1031" s="82"/>
      <c r="Q1031" s="82"/>
    </row>
    <row r="1032" spans="13:17" ht="20.100000000000001" customHeight="1">
      <c r="M1032" s="82"/>
      <c r="N1032" s="82"/>
      <c r="O1032" s="82"/>
      <c r="P1032" s="82"/>
      <c r="Q1032" s="82"/>
    </row>
    <row r="1033" spans="13:17" ht="20.100000000000001" customHeight="1">
      <c r="M1033" s="82"/>
      <c r="N1033" s="82"/>
      <c r="O1033" s="82"/>
      <c r="P1033" s="82"/>
      <c r="Q1033" s="82"/>
    </row>
    <row r="1034" spans="13:17" ht="20.100000000000001" customHeight="1">
      <c r="M1034" s="82"/>
      <c r="N1034" s="82"/>
      <c r="O1034" s="82"/>
      <c r="P1034" s="82"/>
      <c r="Q1034" s="82"/>
    </row>
    <row r="1035" spans="13:17" ht="20.100000000000001" customHeight="1">
      <c r="M1035" s="82"/>
      <c r="N1035" s="82"/>
      <c r="O1035" s="82"/>
      <c r="P1035" s="82"/>
      <c r="Q1035" s="82"/>
    </row>
    <row r="1036" spans="13:17" ht="20.100000000000001" customHeight="1">
      <c r="M1036" s="82"/>
      <c r="N1036" s="82"/>
      <c r="O1036" s="82"/>
      <c r="P1036" s="82"/>
      <c r="Q1036" s="82"/>
    </row>
    <row r="1037" spans="13:17" ht="20.100000000000001" customHeight="1">
      <c r="M1037" s="82"/>
      <c r="N1037" s="82"/>
      <c r="O1037" s="82"/>
      <c r="P1037" s="82"/>
      <c r="Q1037" s="82"/>
    </row>
    <row r="1038" spans="13:17" ht="20.100000000000001" customHeight="1">
      <c r="M1038" s="82"/>
      <c r="N1038" s="82"/>
      <c r="O1038" s="82"/>
      <c r="P1038" s="82"/>
      <c r="Q1038" s="82"/>
    </row>
    <row r="1039" spans="13:17" ht="20.100000000000001" customHeight="1">
      <c r="M1039" s="82"/>
      <c r="N1039" s="82"/>
      <c r="O1039" s="82"/>
      <c r="P1039" s="82"/>
      <c r="Q1039" s="82"/>
    </row>
    <row r="1040" spans="13:17" ht="20.100000000000001" customHeight="1">
      <c r="M1040" s="82"/>
      <c r="N1040" s="82"/>
      <c r="O1040" s="82"/>
      <c r="P1040" s="82"/>
      <c r="Q1040" s="82"/>
    </row>
    <row r="1041" spans="13:17" ht="20.100000000000001" customHeight="1">
      <c r="M1041" s="82"/>
      <c r="N1041" s="82"/>
      <c r="O1041" s="82"/>
      <c r="P1041" s="82"/>
      <c r="Q1041" s="82"/>
    </row>
    <row r="1042" spans="13:17" ht="20.100000000000001" customHeight="1">
      <c r="M1042" s="82"/>
      <c r="N1042" s="82"/>
      <c r="O1042" s="82"/>
      <c r="P1042" s="82"/>
      <c r="Q1042" s="82"/>
    </row>
    <row r="1043" spans="13:17" ht="20.100000000000001" customHeight="1">
      <c r="M1043" s="82"/>
      <c r="N1043" s="82"/>
      <c r="O1043" s="82"/>
      <c r="P1043" s="82"/>
      <c r="Q1043" s="82"/>
    </row>
    <row r="1044" spans="13:17" ht="20.100000000000001" customHeight="1">
      <c r="M1044" s="82"/>
      <c r="N1044" s="82"/>
      <c r="O1044" s="82"/>
      <c r="P1044" s="82"/>
      <c r="Q1044" s="82"/>
    </row>
    <row r="1045" spans="13:17" ht="20.100000000000001" customHeight="1">
      <c r="M1045" s="82"/>
      <c r="N1045" s="82"/>
      <c r="O1045" s="82"/>
      <c r="P1045" s="82"/>
      <c r="Q1045" s="82"/>
    </row>
    <row r="1046" spans="13:17" ht="20.100000000000001" customHeight="1">
      <c r="M1046" s="82"/>
      <c r="N1046" s="82"/>
      <c r="O1046" s="82"/>
      <c r="P1046" s="82"/>
      <c r="Q1046" s="82"/>
    </row>
    <row r="1047" spans="13:17" ht="20.100000000000001" customHeight="1">
      <c r="M1047" s="82"/>
      <c r="N1047" s="82"/>
      <c r="O1047" s="82"/>
      <c r="P1047" s="82"/>
      <c r="Q1047" s="82"/>
    </row>
    <row r="1048" spans="13:17" ht="20.100000000000001" customHeight="1">
      <c r="M1048" s="82"/>
      <c r="N1048" s="82"/>
      <c r="O1048" s="82"/>
      <c r="P1048" s="82"/>
      <c r="Q1048" s="82"/>
    </row>
    <row r="1049" spans="13:17" ht="20.100000000000001" customHeight="1">
      <c r="M1049" s="82"/>
      <c r="N1049" s="82"/>
      <c r="O1049" s="82"/>
      <c r="P1049" s="82"/>
      <c r="Q1049" s="82"/>
    </row>
    <row r="1050" spans="13:17" ht="20.100000000000001" customHeight="1">
      <c r="M1050" s="82"/>
      <c r="N1050" s="82"/>
      <c r="O1050" s="82"/>
      <c r="P1050" s="82"/>
      <c r="Q1050" s="82"/>
    </row>
    <row r="1051" spans="13:17" ht="20.100000000000001" customHeight="1">
      <c r="M1051" s="82"/>
      <c r="N1051" s="82"/>
      <c r="O1051" s="82"/>
      <c r="P1051" s="82"/>
      <c r="Q1051" s="82"/>
    </row>
    <row r="1052" spans="13:17" ht="20.100000000000001" customHeight="1">
      <c r="M1052" s="82"/>
      <c r="N1052" s="82"/>
      <c r="O1052" s="82"/>
      <c r="P1052" s="82"/>
      <c r="Q1052" s="82"/>
    </row>
    <row r="1053" spans="13:17" ht="20.100000000000001" customHeight="1">
      <c r="M1053" s="82"/>
      <c r="N1053" s="82"/>
      <c r="O1053" s="82"/>
      <c r="P1053" s="82"/>
      <c r="Q1053" s="82"/>
    </row>
    <row r="1054" spans="13:17" ht="20.100000000000001" customHeight="1">
      <c r="M1054" s="82"/>
      <c r="N1054" s="82"/>
      <c r="O1054" s="82"/>
      <c r="P1054" s="82"/>
      <c r="Q1054" s="82"/>
    </row>
    <row r="1055" spans="13:17" ht="20.100000000000001" customHeight="1">
      <c r="M1055" s="82"/>
      <c r="N1055" s="82"/>
      <c r="O1055" s="82"/>
      <c r="P1055" s="82"/>
      <c r="Q1055" s="82"/>
    </row>
    <row r="1056" spans="13:17" ht="20.100000000000001" customHeight="1">
      <c r="M1056" s="82"/>
      <c r="N1056" s="82"/>
      <c r="O1056" s="82"/>
      <c r="P1056" s="82"/>
      <c r="Q1056" s="82"/>
    </row>
    <row r="1057" spans="13:17" ht="20.100000000000001" customHeight="1">
      <c r="M1057" s="82"/>
      <c r="N1057" s="82"/>
      <c r="O1057" s="82"/>
      <c r="P1057" s="82"/>
      <c r="Q1057" s="82"/>
    </row>
    <row r="1058" spans="13:17" ht="20.100000000000001" customHeight="1">
      <c r="M1058" s="82"/>
      <c r="N1058" s="82"/>
      <c r="O1058" s="82"/>
      <c r="P1058" s="82"/>
      <c r="Q1058" s="82"/>
    </row>
    <row r="1059" spans="13:17" ht="20.100000000000001" customHeight="1">
      <c r="M1059" s="82"/>
      <c r="N1059" s="82"/>
      <c r="O1059" s="82"/>
      <c r="P1059" s="82"/>
      <c r="Q1059" s="82"/>
    </row>
    <row r="1060" spans="13:17" ht="20.100000000000001" customHeight="1">
      <c r="M1060" s="82"/>
      <c r="N1060" s="82"/>
      <c r="O1060" s="82"/>
      <c r="P1060" s="82"/>
      <c r="Q1060" s="82"/>
    </row>
    <row r="1061" spans="13:17" ht="20.100000000000001" customHeight="1">
      <c r="M1061" s="82"/>
      <c r="N1061" s="82"/>
      <c r="O1061" s="82"/>
      <c r="P1061" s="82"/>
      <c r="Q1061" s="82"/>
    </row>
    <row r="1062" spans="13:17" ht="20.100000000000001" customHeight="1">
      <c r="M1062" s="82"/>
      <c r="N1062" s="82"/>
      <c r="O1062" s="82"/>
      <c r="P1062" s="82"/>
      <c r="Q1062" s="82"/>
    </row>
    <row r="1063" spans="13:17" ht="20.100000000000001" customHeight="1">
      <c r="M1063" s="82"/>
      <c r="N1063" s="82"/>
      <c r="O1063" s="82"/>
      <c r="P1063" s="82"/>
      <c r="Q1063" s="82"/>
    </row>
    <row r="1064" spans="13:17" ht="20.100000000000001" customHeight="1">
      <c r="M1064" s="82"/>
      <c r="N1064" s="82"/>
      <c r="O1064" s="82"/>
      <c r="P1064" s="82"/>
      <c r="Q1064" s="82"/>
    </row>
    <row r="1065" spans="13:17" ht="20.100000000000001" customHeight="1">
      <c r="M1065" s="82"/>
      <c r="N1065" s="82"/>
      <c r="O1065" s="82"/>
      <c r="P1065" s="82"/>
      <c r="Q1065" s="82"/>
    </row>
    <row r="1066" spans="13:17" ht="20.100000000000001" customHeight="1">
      <c r="M1066" s="82"/>
      <c r="N1066" s="82"/>
      <c r="O1066" s="82"/>
      <c r="P1066" s="82"/>
      <c r="Q1066" s="82"/>
    </row>
    <row r="1067" spans="13:17" ht="20.100000000000001" customHeight="1">
      <c r="M1067" s="82"/>
      <c r="N1067" s="82"/>
      <c r="O1067" s="82"/>
      <c r="P1067" s="82"/>
      <c r="Q1067" s="82"/>
    </row>
    <row r="1068" spans="13:17" ht="20.100000000000001" customHeight="1">
      <c r="M1068" s="82"/>
      <c r="N1068" s="82"/>
      <c r="O1068" s="82"/>
      <c r="P1068" s="82"/>
      <c r="Q1068" s="82"/>
    </row>
    <row r="1069" spans="13:17" ht="20.100000000000001" customHeight="1">
      <c r="M1069" s="82"/>
      <c r="N1069" s="82"/>
      <c r="O1069" s="82"/>
      <c r="P1069" s="82"/>
      <c r="Q1069" s="82"/>
    </row>
    <row r="1070" spans="13:17" ht="20.100000000000001" customHeight="1">
      <c r="M1070" s="82"/>
      <c r="N1070" s="82"/>
      <c r="O1070" s="82"/>
      <c r="P1070" s="82"/>
      <c r="Q1070" s="82"/>
    </row>
    <row r="1071" spans="13:17" ht="20.100000000000001" customHeight="1">
      <c r="M1071" s="82"/>
      <c r="N1071" s="82"/>
      <c r="O1071" s="82"/>
      <c r="P1071" s="82"/>
      <c r="Q1071" s="82"/>
    </row>
    <row r="1072" spans="13:17" ht="20.100000000000001" customHeight="1">
      <c r="M1072" s="82"/>
      <c r="N1072" s="82"/>
      <c r="O1072" s="82"/>
      <c r="P1072" s="82"/>
      <c r="Q1072" s="82"/>
    </row>
    <row r="1073" spans="13:17" ht="20.100000000000001" customHeight="1">
      <c r="M1073" s="82"/>
      <c r="N1073" s="82"/>
      <c r="O1073" s="82"/>
      <c r="P1073" s="82"/>
      <c r="Q1073" s="82"/>
    </row>
    <row r="1074" spans="13:17" ht="20.100000000000001" customHeight="1">
      <c r="M1074" s="82"/>
      <c r="N1074" s="82"/>
      <c r="O1074" s="82"/>
      <c r="P1074" s="82"/>
      <c r="Q1074" s="82"/>
    </row>
    <row r="1075" spans="13:17" ht="20.100000000000001" customHeight="1">
      <c r="M1075" s="82"/>
      <c r="N1075" s="82"/>
      <c r="O1075" s="82"/>
      <c r="P1075" s="82"/>
      <c r="Q1075" s="82"/>
    </row>
    <row r="1076" spans="13:17" ht="20.100000000000001" customHeight="1">
      <c r="M1076" s="82"/>
      <c r="N1076" s="82"/>
      <c r="O1076" s="82"/>
      <c r="P1076" s="82"/>
      <c r="Q1076" s="82"/>
    </row>
    <row r="1077" spans="13:17" ht="20.100000000000001" customHeight="1">
      <c r="M1077" s="82"/>
      <c r="N1077" s="82"/>
      <c r="O1077" s="82"/>
      <c r="P1077" s="82"/>
      <c r="Q1077" s="82"/>
    </row>
    <row r="1078" spans="13:17" ht="20.100000000000001" customHeight="1">
      <c r="M1078" s="82"/>
      <c r="N1078" s="82"/>
      <c r="O1078" s="82"/>
      <c r="P1078" s="82"/>
      <c r="Q1078" s="82"/>
    </row>
    <row r="1079" spans="13:17" ht="20.100000000000001" customHeight="1">
      <c r="M1079" s="82"/>
      <c r="N1079" s="82"/>
      <c r="O1079" s="82"/>
      <c r="P1079" s="82"/>
      <c r="Q1079" s="82"/>
    </row>
    <row r="1080" spans="13:17" ht="20.100000000000001" customHeight="1">
      <c r="M1080" s="82"/>
      <c r="N1080" s="82"/>
      <c r="O1080" s="82"/>
      <c r="P1080" s="82"/>
      <c r="Q1080" s="82"/>
    </row>
    <row r="1081" spans="13:17" ht="20.100000000000001" customHeight="1">
      <c r="M1081" s="82"/>
      <c r="N1081" s="82"/>
      <c r="O1081" s="82"/>
      <c r="P1081" s="82"/>
      <c r="Q1081" s="82"/>
    </row>
    <row r="1082" spans="13:17" ht="20.100000000000001" customHeight="1">
      <c r="M1082" s="82"/>
      <c r="N1082" s="82"/>
      <c r="O1082" s="82"/>
      <c r="P1082" s="82"/>
      <c r="Q1082" s="82"/>
    </row>
    <row r="1083" spans="13:17" ht="20.100000000000001" customHeight="1">
      <c r="M1083" s="82"/>
      <c r="N1083" s="82"/>
      <c r="O1083" s="82"/>
      <c r="P1083" s="82"/>
      <c r="Q1083" s="82"/>
    </row>
    <row r="1084" spans="13:17" ht="20.100000000000001" customHeight="1">
      <c r="M1084" s="82"/>
      <c r="N1084" s="82"/>
      <c r="O1084" s="82"/>
      <c r="P1084" s="82"/>
      <c r="Q1084" s="82"/>
    </row>
    <row r="1085" spans="13:17" ht="20.100000000000001" customHeight="1">
      <c r="M1085" s="82"/>
      <c r="N1085" s="82"/>
      <c r="O1085" s="82"/>
      <c r="P1085" s="82"/>
      <c r="Q1085" s="82"/>
    </row>
    <row r="1086" spans="13:17" ht="20.100000000000001" customHeight="1">
      <c r="M1086" s="82"/>
      <c r="N1086" s="82"/>
      <c r="O1086" s="82"/>
      <c r="P1086" s="82"/>
      <c r="Q1086" s="82"/>
    </row>
    <row r="1087" spans="13:17" ht="20.100000000000001" customHeight="1">
      <c r="M1087" s="82"/>
      <c r="N1087" s="82"/>
      <c r="O1087" s="82"/>
      <c r="P1087" s="82"/>
      <c r="Q1087" s="82"/>
    </row>
    <row r="1088" spans="13:17" ht="20.100000000000001" customHeight="1">
      <c r="M1088" s="82"/>
      <c r="N1088" s="82"/>
      <c r="O1088" s="82"/>
      <c r="P1088" s="82"/>
      <c r="Q1088" s="82"/>
    </row>
    <row r="1089" spans="13:17" ht="20.100000000000001" customHeight="1">
      <c r="M1089" s="82"/>
      <c r="N1089" s="82"/>
      <c r="O1089" s="82"/>
      <c r="P1089" s="82"/>
      <c r="Q1089" s="82"/>
    </row>
    <row r="1090" spans="13:17" ht="20.100000000000001" customHeight="1">
      <c r="M1090" s="82"/>
      <c r="N1090" s="82"/>
      <c r="O1090" s="82"/>
      <c r="P1090" s="82"/>
      <c r="Q1090" s="82"/>
    </row>
    <row r="1091" spans="13:17" ht="20.100000000000001" customHeight="1">
      <c r="M1091" s="82"/>
      <c r="N1091" s="82"/>
      <c r="O1091" s="82"/>
      <c r="P1091" s="82"/>
      <c r="Q1091" s="82"/>
    </row>
    <row r="1092" spans="13:17" ht="20.100000000000001" customHeight="1">
      <c r="M1092" s="82"/>
      <c r="N1092" s="82"/>
      <c r="O1092" s="82"/>
      <c r="P1092" s="82"/>
      <c r="Q1092" s="82"/>
    </row>
    <row r="1093" spans="13:17" ht="20.100000000000001" customHeight="1">
      <c r="M1093" s="82"/>
      <c r="N1093" s="82"/>
      <c r="O1093" s="82"/>
      <c r="P1093" s="82"/>
      <c r="Q1093" s="82"/>
    </row>
    <row r="1094" spans="13:17" ht="20.100000000000001" customHeight="1">
      <c r="M1094" s="82"/>
      <c r="N1094" s="82"/>
      <c r="O1094" s="82"/>
      <c r="P1094" s="82"/>
      <c r="Q1094" s="82"/>
    </row>
    <row r="1095" spans="13:17" ht="20.100000000000001" customHeight="1">
      <c r="M1095" s="82"/>
      <c r="N1095" s="82"/>
      <c r="O1095" s="82"/>
      <c r="P1095" s="82"/>
      <c r="Q1095" s="82"/>
    </row>
    <row r="1096" spans="13:17" ht="20.100000000000001" customHeight="1">
      <c r="M1096" s="82"/>
      <c r="N1096" s="82"/>
      <c r="O1096" s="82"/>
      <c r="P1096" s="82"/>
      <c r="Q1096" s="82"/>
    </row>
    <row r="1097" spans="13:17" ht="20.100000000000001" customHeight="1">
      <c r="M1097" s="82"/>
      <c r="N1097" s="82"/>
      <c r="O1097" s="82"/>
      <c r="P1097" s="82"/>
      <c r="Q1097" s="82"/>
    </row>
    <row r="1098" spans="13:17" ht="20.100000000000001" customHeight="1">
      <c r="M1098" s="82"/>
      <c r="N1098" s="82"/>
      <c r="O1098" s="82"/>
      <c r="P1098" s="82"/>
      <c r="Q1098" s="82"/>
    </row>
    <row r="1099" spans="13:17" ht="20.100000000000001" customHeight="1">
      <c r="M1099" s="82"/>
      <c r="N1099" s="82"/>
      <c r="O1099" s="82"/>
      <c r="P1099" s="82"/>
      <c r="Q1099" s="82"/>
    </row>
    <row r="1100" spans="13:17" ht="20.100000000000001" customHeight="1">
      <c r="M1100" s="82"/>
      <c r="N1100" s="82"/>
      <c r="O1100" s="82"/>
      <c r="P1100" s="82"/>
      <c r="Q1100" s="82"/>
    </row>
    <row r="1101" spans="13:17" ht="20.100000000000001" customHeight="1">
      <c r="M1101" s="82"/>
      <c r="N1101" s="82"/>
      <c r="O1101" s="82"/>
      <c r="P1101" s="82"/>
      <c r="Q1101" s="82"/>
    </row>
    <row r="1102" spans="13:17" ht="20.100000000000001" customHeight="1">
      <c r="M1102" s="82"/>
      <c r="N1102" s="82"/>
      <c r="O1102" s="82"/>
      <c r="P1102" s="82"/>
      <c r="Q1102" s="82"/>
    </row>
    <row r="1103" spans="13:17" ht="20.100000000000001" customHeight="1">
      <c r="M1103" s="82"/>
      <c r="N1103" s="82"/>
      <c r="O1103" s="82"/>
      <c r="P1103" s="82"/>
      <c r="Q1103" s="82"/>
    </row>
    <row r="1104" spans="13:17" ht="20.100000000000001" customHeight="1">
      <c r="M1104" s="82"/>
      <c r="N1104" s="82"/>
      <c r="O1104" s="82"/>
      <c r="P1104" s="82"/>
      <c r="Q1104" s="82"/>
    </row>
    <row r="1105" spans="13:17" ht="20.100000000000001" customHeight="1">
      <c r="M1105" s="82"/>
      <c r="N1105" s="82"/>
      <c r="O1105" s="82"/>
      <c r="P1105" s="82"/>
      <c r="Q1105" s="82"/>
    </row>
    <row r="1106" spans="13:17" ht="20.100000000000001" customHeight="1">
      <c r="M1106" s="82"/>
      <c r="N1106" s="82"/>
      <c r="O1106" s="82"/>
      <c r="P1106" s="82"/>
      <c r="Q1106" s="82"/>
    </row>
    <row r="1107" spans="13:17" ht="20.100000000000001" customHeight="1">
      <c r="M1107" s="82"/>
      <c r="N1107" s="82"/>
      <c r="O1107" s="82"/>
      <c r="P1107" s="82"/>
      <c r="Q1107" s="82"/>
    </row>
    <row r="1108" spans="13:17" ht="20.100000000000001" customHeight="1">
      <c r="M1108" s="82"/>
      <c r="N1108" s="82"/>
      <c r="O1108" s="82"/>
      <c r="P1108" s="82"/>
      <c r="Q1108" s="82"/>
    </row>
    <row r="1109" spans="13:17" ht="20.100000000000001" customHeight="1">
      <c r="M1109" s="82"/>
      <c r="N1109" s="82"/>
      <c r="O1109" s="82"/>
      <c r="P1109" s="82"/>
      <c r="Q1109" s="82"/>
    </row>
    <row r="1110" spans="13:17" ht="20.100000000000001" customHeight="1">
      <c r="M1110" s="82"/>
      <c r="N1110" s="82"/>
      <c r="O1110" s="82"/>
      <c r="P1110" s="82"/>
      <c r="Q1110" s="82"/>
    </row>
    <row r="1111" spans="13:17" ht="20.100000000000001" customHeight="1">
      <c r="M1111" s="82"/>
      <c r="N1111" s="82"/>
      <c r="O1111" s="82"/>
      <c r="P1111" s="82"/>
      <c r="Q1111" s="82"/>
    </row>
    <row r="1112" spans="13:17" ht="20.100000000000001" customHeight="1">
      <c r="M1112" s="82"/>
      <c r="N1112" s="82"/>
      <c r="O1112" s="82"/>
      <c r="P1112" s="82"/>
      <c r="Q1112" s="82"/>
    </row>
    <row r="1113" spans="13:17" ht="20.100000000000001" customHeight="1">
      <c r="M1113" s="82"/>
      <c r="N1113" s="82"/>
      <c r="O1113" s="82"/>
      <c r="P1113" s="82"/>
      <c r="Q1113" s="82"/>
    </row>
    <row r="1114" spans="13:17" ht="20.100000000000001" customHeight="1">
      <c r="M1114" s="82"/>
      <c r="N1114" s="82"/>
      <c r="O1114" s="82"/>
      <c r="P1114" s="82"/>
      <c r="Q1114" s="82"/>
    </row>
    <row r="1115" spans="13:17" ht="20.100000000000001" customHeight="1">
      <c r="M1115" s="82"/>
      <c r="N1115" s="82"/>
      <c r="O1115" s="82"/>
      <c r="P1115" s="82"/>
      <c r="Q1115" s="82"/>
    </row>
    <row r="1116" spans="13:17" ht="20.100000000000001" customHeight="1">
      <c r="M1116" s="82"/>
      <c r="N1116" s="82"/>
      <c r="O1116" s="82"/>
      <c r="P1116" s="82"/>
      <c r="Q1116" s="82"/>
    </row>
    <row r="1117" spans="13:17" ht="20.100000000000001" customHeight="1">
      <c r="M1117" s="82"/>
      <c r="N1117" s="82"/>
      <c r="O1117" s="82"/>
      <c r="P1117" s="82"/>
      <c r="Q1117" s="82"/>
    </row>
    <row r="1118" spans="13:17" ht="20.100000000000001" customHeight="1">
      <c r="M1118" s="82"/>
      <c r="N1118" s="82"/>
      <c r="O1118" s="82"/>
      <c r="P1118" s="82"/>
      <c r="Q1118" s="82"/>
    </row>
    <row r="1119" spans="13:17" ht="20.100000000000001" customHeight="1">
      <c r="M1119" s="82"/>
      <c r="N1119" s="82"/>
      <c r="O1119" s="82"/>
      <c r="P1119" s="82"/>
      <c r="Q1119" s="82"/>
    </row>
    <row r="1120" spans="13:17" ht="20.100000000000001" customHeight="1">
      <c r="M1120" s="82"/>
      <c r="N1120" s="82"/>
      <c r="O1120" s="82"/>
      <c r="P1120" s="82"/>
      <c r="Q1120" s="82"/>
    </row>
    <row r="1121" spans="13:17" ht="20.100000000000001" customHeight="1">
      <c r="M1121" s="82"/>
      <c r="N1121" s="82"/>
      <c r="O1121" s="82"/>
      <c r="P1121" s="82"/>
      <c r="Q1121" s="82"/>
    </row>
    <row r="1122" spans="13:17" ht="20.100000000000001" customHeight="1">
      <c r="M1122" s="82"/>
      <c r="N1122" s="82"/>
      <c r="O1122" s="82"/>
      <c r="P1122" s="82"/>
      <c r="Q1122" s="82"/>
    </row>
    <row r="1123" spans="13:17" ht="20.100000000000001" customHeight="1">
      <c r="M1123" s="82"/>
      <c r="N1123" s="82"/>
      <c r="O1123" s="82"/>
      <c r="P1123" s="82"/>
      <c r="Q1123" s="82"/>
    </row>
    <row r="1124" spans="13:17" ht="20.100000000000001" customHeight="1">
      <c r="M1124" s="82"/>
      <c r="N1124" s="82"/>
      <c r="O1124" s="82"/>
      <c r="P1124" s="82"/>
      <c r="Q1124" s="82"/>
    </row>
    <row r="1125" spans="13:17" ht="20.100000000000001" customHeight="1">
      <c r="M1125" s="82"/>
      <c r="N1125" s="82"/>
      <c r="O1125" s="82"/>
      <c r="P1125" s="82"/>
      <c r="Q1125" s="82"/>
    </row>
    <row r="1126" spans="13:17" ht="20.100000000000001" customHeight="1">
      <c r="M1126" s="82"/>
      <c r="N1126" s="82"/>
      <c r="O1126" s="82"/>
      <c r="P1126" s="82"/>
      <c r="Q1126" s="82"/>
    </row>
    <row r="1127" spans="13:17" ht="20.100000000000001" customHeight="1">
      <c r="M1127" s="82"/>
      <c r="N1127" s="82"/>
      <c r="O1127" s="82"/>
      <c r="P1127" s="82"/>
      <c r="Q1127" s="82"/>
    </row>
    <row r="1128" spans="13:17" ht="20.100000000000001" customHeight="1">
      <c r="M1128" s="82"/>
      <c r="N1128" s="82"/>
      <c r="O1128" s="82"/>
      <c r="P1128" s="82"/>
      <c r="Q1128" s="82"/>
    </row>
    <row r="1129" spans="13:17" ht="20.100000000000001" customHeight="1">
      <c r="M1129" s="82"/>
      <c r="N1129" s="82"/>
      <c r="O1129" s="82"/>
      <c r="P1129" s="82"/>
      <c r="Q1129" s="82"/>
    </row>
    <row r="1130" spans="13:17" ht="20.100000000000001" customHeight="1">
      <c r="M1130" s="82"/>
      <c r="N1130" s="82"/>
      <c r="O1130" s="82"/>
      <c r="P1130" s="82"/>
      <c r="Q1130" s="82"/>
    </row>
    <row r="1131" spans="13:17" ht="20.100000000000001" customHeight="1">
      <c r="M1131" s="82"/>
      <c r="N1131" s="82"/>
      <c r="O1131" s="82"/>
      <c r="P1131" s="82"/>
      <c r="Q1131" s="82"/>
    </row>
    <row r="1132" spans="13:17" ht="20.100000000000001" customHeight="1">
      <c r="M1132" s="82"/>
      <c r="N1132" s="82"/>
      <c r="O1132" s="82"/>
      <c r="P1132" s="82"/>
      <c r="Q1132" s="82"/>
    </row>
    <row r="1133" spans="13:17" ht="20.100000000000001" customHeight="1">
      <c r="M1133" s="82"/>
      <c r="N1133" s="82"/>
      <c r="O1133" s="82"/>
      <c r="P1133" s="82"/>
      <c r="Q1133" s="82"/>
    </row>
    <row r="1134" spans="13:17" ht="20.100000000000001" customHeight="1">
      <c r="M1134" s="82"/>
      <c r="N1134" s="82"/>
      <c r="O1134" s="82"/>
      <c r="P1134" s="82"/>
      <c r="Q1134" s="82"/>
    </row>
    <row r="1135" spans="13:17" ht="20.100000000000001" customHeight="1">
      <c r="M1135" s="82"/>
      <c r="N1135" s="82"/>
      <c r="O1135" s="82"/>
      <c r="P1135" s="82"/>
      <c r="Q1135" s="82"/>
    </row>
    <row r="1136" spans="13:17" ht="20.100000000000001" customHeight="1">
      <c r="M1136" s="82"/>
      <c r="N1136" s="82"/>
      <c r="O1136" s="82"/>
      <c r="P1136" s="82"/>
      <c r="Q1136" s="82"/>
    </row>
    <row r="1137" spans="13:17" ht="20.100000000000001" customHeight="1">
      <c r="M1137" s="82"/>
      <c r="N1137" s="82"/>
      <c r="O1137" s="82"/>
      <c r="P1137" s="82"/>
      <c r="Q1137" s="82"/>
    </row>
    <row r="1138" spans="13:17" ht="20.100000000000001" customHeight="1">
      <c r="M1138" s="82"/>
      <c r="N1138" s="82"/>
      <c r="O1138" s="82"/>
      <c r="P1138" s="82"/>
      <c r="Q1138" s="82"/>
    </row>
    <row r="1139" spans="13:17" ht="20.100000000000001" customHeight="1">
      <c r="M1139" s="82"/>
      <c r="N1139" s="82"/>
      <c r="O1139" s="82"/>
      <c r="P1139" s="82"/>
      <c r="Q1139" s="82"/>
    </row>
    <row r="1140" spans="13:17" ht="20.100000000000001" customHeight="1">
      <c r="M1140" s="82"/>
      <c r="N1140" s="82"/>
      <c r="O1140" s="82"/>
      <c r="P1140" s="82"/>
      <c r="Q1140" s="82"/>
    </row>
    <row r="1141" spans="13:17" ht="20.100000000000001" customHeight="1">
      <c r="M1141" s="82"/>
      <c r="N1141" s="82"/>
      <c r="O1141" s="82"/>
      <c r="P1141" s="82"/>
      <c r="Q1141" s="82"/>
    </row>
    <row r="1142" spans="13:17" ht="20.100000000000001" customHeight="1">
      <c r="M1142" s="82"/>
      <c r="N1142" s="82"/>
      <c r="O1142" s="82"/>
      <c r="P1142" s="82"/>
      <c r="Q1142" s="82"/>
    </row>
    <row r="1143" spans="13:17" ht="20.100000000000001" customHeight="1">
      <c r="M1143" s="82"/>
      <c r="N1143" s="82"/>
      <c r="O1143" s="82"/>
      <c r="P1143" s="82"/>
      <c r="Q1143" s="82"/>
    </row>
    <row r="1144" spans="13:17" ht="20.100000000000001" customHeight="1">
      <c r="M1144" s="82"/>
      <c r="N1144" s="82"/>
      <c r="O1144" s="82"/>
      <c r="P1144" s="82"/>
      <c r="Q1144" s="82"/>
    </row>
    <row r="1145" spans="13:17" ht="20.100000000000001" customHeight="1">
      <c r="M1145" s="82"/>
      <c r="N1145" s="82"/>
      <c r="O1145" s="82"/>
      <c r="P1145" s="82"/>
      <c r="Q1145" s="82"/>
    </row>
    <row r="1146" spans="13:17" ht="20.100000000000001" customHeight="1">
      <c r="M1146" s="82"/>
      <c r="N1146" s="82"/>
      <c r="O1146" s="82"/>
      <c r="P1146" s="82"/>
      <c r="Q1146" s="82"/>
    </row>
    <row r="1147" spans="13:17" ht="20.100000000000001" customHeight="1">
      <c r="M1147" s="82"/>
      <c r="N1147" s="82"/>
      <c r="O1147" s="82"/>
      <c r="P1147" s="82"/>
      <c r="Q1147" s="82"/>
    </row>
    <row r="1148" spans="13:17" ht="20.100000000000001" customHeight="1">
      <c r="M1148" s="82"/>
      <c r="N1148" s="82"/>
      <c r="O1148" s="82"/>
      <c r="P1148" s="82"/>
      <c r="Q1148" s="82"/>
    </row>
    <row r="1149" spans="13:17" ht="20.100000000000001" customHeight="1">
      <c r="M1149" s="82"/>
      <c r="N1149" s="82"/>
      <c r="O1149" s="82"/>
      <c r="P1149" s="82"/>
      <c r="Q1149" s="82"/>
    </row>
    <row r="1150" spans="13:17" ht="20.100000000000001" customHeight="1">
      <c r="M1150" s="82"/>
      <c r="N1150" s="82"/>
      <c r="O1150" s="82"/>
      <c r="P1150" s="82"/>
      <c r="Q1150" s="82"/>
    </row>
    <row r="1151" spans="13:17" ht="20.100000000000001" customHeight="1">
      <c r="M1151" s="82"/>
      <c r="N1151" s="82"/>
      <c r="O1151" s="82"/>
      <c r="P1151" s="82"/>
      <c r="Q1151" s="82"/>
    </row>
    <row r="1152" spans="13:17" ht="20.100000000000001" customHeight="1">
      <c r="M1152" s="82"/>
      <c r="N1152" s="82"/>
      <c r="O1152" s="82"/>
      <c r="P1152" s="82"/>
      <c r="Q1152" s="82"/>
    </row>
    <row r="1153" spans="13:17" ht="20.100000000000001" customHeight="1">
      <c r="M1153" s="82"/>
      <c r="N1153" s="82"/>
      <c r="O1153" s="82"/>
      <c r="P1153" s="82"/>
      <c r="Q1153" s="82"/>
    </row>
    <row r="1154" spans="13:17" ht="20.100000000000001" customHeight="1">
      <c r="M1154" s="82"/>
      <c r="N1154" s="82"/>
      <c r="O1154" s="82"/>
      <c r="P1154" s="82"/>
      <c r="Q1154" s="82"/>
    </row>
    <row r="1155" spans="13:17" ht="20.100000000000001" customHeight="1">
      <c r="M1155" s="82"/>
      <c r="N1155" s="82"/>
      <c r="O1155" s="82"/>
      <c r="P1155" s="82"/>
      <c r="Q1155" s="82"/>
    </row>
    <row r="1156" spans="13:17" ht="20.100000000000001" customHeight="1">
      <c r="M1156" s="82"/>
      <c r="N1156" s="82"/>
      <c r="O1156" s="82"/>
      <c r="P1156" s="82"/>
      <c r="Q1156" s="82"/>
    </row>
    <row r="1157" spans="13:17" ht="20.100000000000001" customHeight="1">
      <c r="M1157" s="82"/>
      <c r="N1157" s="82"/>
      <c r="O1157" s="82"/>
      <c r="P1157" s="82"/>
      <c r="Q1157" s="82"/>
    </row>
    <row r="1158" spans="13:17" ht="20.100000000000001" customHeight="1">
      <c r="M1158" s="82"/>
      <c r="N1158" s="82"/>
      <c r="O1158" s="82"/>
      <c r="P1158" s="82"/>
      <c r="Q1158" s="82"/>
    </row>
    <row r="1159" spans="13:17" ht="20.100000000000001" customHeight="1">
      <c r="M1159" s="82"/>
      <c r="N1159" s="82"/>
      <c r="O1159" s="82"/>
      <c r="P1159" s="82"/>
      <c r="Q1159" s="82"/>
    </row>
    <row r="1160" spans="13:17" ht="20.100000000000001" customHeight="1">
      <c r="M1160" s="82"/>
      <c r="N1160" s="82"/>
      <c r="O1160" s="82"/>
      <c r="P1160" s="82"/>
      <c r="Q1160" s="82"/>
    </row>
    <row r="1161" spans="13:17" ht="20.100000000000001" customHeight="1">
      <c r="M1161" s="82"/>
      <c r="N1161" s="82"/>
      <c r="O1161" s="82"/>
      <c r="P1161" s="82"/>
      <c r="Q1161" s="82"/>
    </row>
    <row r="1162" spans="13:17" ht="20.100000000000001" customHeight="1">
      <c r="M1162" s="82"/>
      <c r="N1162" s="82"/>
      <c r="O1162" s="82"/>
      <c r="P1162" s="82"/>
      <c r="Q1162" s="82"/>
    </row>
    <row r="1163" spans="13:17" ht="20.100000000000001" customHeight="1">
      <c r="M1163" s="82"/>
      <c r="N1163" s="82"/>
      <c r="O1163" s="82"/>
      <c r="P1163" s="82"/>
      <c r="Q1163" s="82"/>
    </row>
    <row r="1164" spans="13:17" ht="20.100000000000001" customHeight="1">
      <c r="M1164" s="82"/>
      <c r="N1164" s="82"/>
      <c r="O1164" s="82"/>
      <c r="P1164" s="82"/>
      <c r="Q1164" s="82"/>
    </row>
    <row r="1165" spans="13:17" ht="20.100000000000001" customHeight="1">
      <c r="M1165" s="82"/>
      <c r="N1165" s="82"/>
      <c r="O1165" s="82"/>
      <c r="P1165" s="82"/>
      <c r="Q1165" s="82"/>
    </row>
    <row r="1166" spans="13:17" ht="20.100000000000001" customHeight="1">
      <c r="M1166" s="82"/>
      <c r="N1166" s="82"/>
      <c r="O1166" s="82"/>
      <c r="P1166" s="82"/>
      <c r="Q1166" s="82"/>
    </row>
    <row r="1167" spans="13:17" ht="20.100000000000001" customHeight="1">
      <c r="M1167" s="82"/>
      <c r="N1167" s="82"/>
      <c r="O1167" s="82"/>
      <c r="P1167" s="82"/>
      <c r="Q1167" s="82"/>
    </row>
    <row r="1168" spans="13:17" ht="20.100000000000001" customHeight="1">
      <c r="M1168" s="82"/>
      <c r="N1168" s="82"/>
      <c r="O1168" s="82"/>
      <c r="P1168" s="82"/>
      <c r="Q1168" s="82"/>
    </row>
    <row r="1169" spans="13:17" ht="20.100000000000001" customHeight="1">
      <c r="M1169" s="82"/>
      <c r="N1169" s="82"/>
      <c r="O1169" s="82"/>
      <c r="P1169" s="82"/>
      <c r="Q1169" s="82"/>
    </row>
    <row r="1170" spans="13:17" ht="20.100000000000001" customHeight="1">
      <c r="M1170" s="82"/>
      <c r="N1170" s="82"/>
      <c r="O1170" s="82"/>
      <c r="P1170" s="82"/>
      <c r="Q1170" s="82"/>
    </row>
    <row r="1171" spans="13:17" ht="20.100000000000001" customHeight="1">
      <c r="M1171" s="82"/>
      <c r="N1171" s="82"/>
      <c r="O1171" s="82"/>
      <c r="P1171" s="82"/>
      <c r="Q1171" s="82"/>
    </row>
    <row r="1172" spans="13:17" ht="20.100000000000001" customHeight="1">
      <c r="M1172" s="82"/>
      <c r="N1172" s="82"/>
      <c r="O1172" s="82"/>
      <c r="P1172" s="82"/>
      <c r="Q1172" s="82"/>
    </row>
    <row r="1173" spans="13:17" ht="20.100000000000001" customHeight="1">
      <c r="M1173" s="82"/>
      <c r="N1173" s="82"/>
      <c r="O1173" s="82"/>
      <c r="P1173" s="82"/>
      <c r="Q1173" s="82"/>
    </row>
    <row r="1174" spans="13:17" ht="20.100000000000001" customHeight="1">
      <c r="M1174" s="82"/>
      <c r="N1174" s="82"/>
      <c r="O1174" s="82"/>
      <c r="P1174" s="82"/>
      <c r="Q1174" s="82"/>
    </row>
    <row r="1175" spans="13:17" ht="20.100000000000001" customHeight="1">
      <c r="M1175" s="82"/>
      <c r="N1175" s="82"/>
      <c r="O1175" s="82"/>
      <c r="P1175" s="82"/>
      <c r="Q1175" s="82"/>
    </row>
    <row r="1176" spans="13:17" ht="20.100000000000001" customHeight="1">
      <c r="M1176" s="82"/>
      <c r="N1176" s="82"/>
      <c r="O1176" s="82"/>
      <c r="P1176" s="82"/>
      <c r="Q1176" s="82"/>
    </row>
    <row r="1177" spans="13:17" ht="20.100000000000001" customHeight="1">
      <c r="M1177" s="82"/>
      <c r="N1177" s="82"/>
      <c r="O1177" s="82"/>
      <c r="P1177" s="82"/>
      <c r="Q1177" s="82"/>
    </row>
    <row r="1178" spans="13:17" ht="20.100000000000001" customHeight="1">
      <c r="M1178" s="82"/>
      <c r="N1178" s="82"/>
      <c r="O1178" s="82"/>
      <c r="P1178" s="82"/>
      <c r="Q1178" s="82"/>
    </row>
    <row r="1179" spans="13:17" ht="20.100000000000001" customHeight="1">
      <c r="M1179" s="82"/>
      <c r="N1179" s="82"/>
      <c r="O1179" s="82"/>
      <c r="P1179" s="82"/>
      <c r="Q1179" s="82"/>
    </row>
    <row r="1180" spans="13:17" ht="20.100000000000001" customHeight="1">
      <c r="M1180" s="82"/>
      <c r="N1180" s="82"/>
      <c r="O1180" s="82"/>
      <c r="P1180" s="82"/>
      <c r="Q1180" s="82"/>
    </row>
    <row r="1181" spans="13:17" ht="20.100000000000001" customHeight="1">
      <c r="M1181" s="82"/>
      <c r="N1181" s="82"/>
      <c r="O1181" s="82"/>
      <c r="P1181" s="82"/>
      <c r="Q1181" s="82"/>
    </row>
    <row r="1182" spans="13:17" ht="20.100000000000001" customHeight="1">
      <c r="M1182" s="82"/>
      <c r="N1182" s="82"/>
      <c r="O1182" s="82"/>
      <c r="P1182" s="82"/>
      <c r="Q1182" s="82"/>
    </row>
    <row r="1183" spans="13:17" ht="20.100000000000001" customHeight="1">
      <c r="M1183" s="82"/>
      <c r="N1183" s="82"/>
      <c r="O1183" s="82"/>
      <c r="P1183" s="82"/>
      <c r="Q1183" s="82"/>
    </row>
    <row r="1184" spans="13:17" ht="20.100000000000001" customHeight="1">
      <c r="M1184" s="82"/>
      <c r="N1184" s="82"/>
      <c r="O1184" s="82"/>
      <c r="P1184" s="82"/>
      <c r="Q1184" s="82"/>
    </row>
    <row r="1185" spans="13:17" ht="20.100000000000001" customHeight="1">
      <c r="M1185" s="82"/>
      <c r="N1185" s="82"/>
      <c r="O1185" s="82"/>
      <c r="P1185" s="82"/>
      <c r="Q1185" s="82"/>
    </row>
    <row r="1186" spans="13:17" ht="20.100000000000001" customHeight="1">
      <c r="M1186" s="82"/>
      <c r="N1186" s="82"/>
      <c r="O1186" s="82"/>
      <c r="P1186" s="82"/>
      <c r="Q1186" s="82"/>
    </row>
    <row r="1187" spans="13:17" ht="20.100000000000001" customHeight="1">
      <c r="M1187" s="82"/>
      <c r="N1187" s="82"/>
      <c r="O1187" s="82"/>
      <c r="P1187" s="82"/>
      <c r="Q1187" s="82"/>
    </row>
    <row r="1188" spans="13:17" ht="20.100000000000001" customHeight="1">
      <c r="M1188" s="82"/>
      <c r="N1188" s="82"/>
      <c r="O1188" s="82"/>
      <c r="P1188" s="82"/>
      <c r="Q1188" s="82"/>
    </row>
    <row r="1189" spans="13:17" ht="20.100000000000001" customHeight="1">
      <c r="M1189" s="82"/>
      <c r="N1189" s="82"/>
      <c r="O1189" s="82"/>
      <c r="P1189" s="82"/>
      <c r="Q1189" s="82"/>
    </row>
    <row r="1190" spans="13:17" ht="20.100000000000001" customHeight="1">
      <c r="M1190" s="82"/>
      <c r="N1190" s="82"/>
      <c r="O1190" s="82"/>
      <c r="P1190" s="82"/>
      <c r="Q1190" s="82"/>
    </row>
    <row r="1191" spans="13:17" ht="20.100000000000001" customHeight="1">
      <c r="M1191" s="82"/>
      <c r="N1191" s="82"/>
      <c r="O1191" s="82"/>
      <c r="P1191" s="82"/>
      <c r="Q1191" s="82"/>
    </row>
    <row r="1192" spans="13:17" ht="20.100000000000001" customHeight="1">
      <c r="M1192" s="82"/>
      <c r="N1192" s="82"/>
      <c r="O1192" s="82"/>
      <c r="P1192" s="82"/>
      <c r="Q1192" s="82"/>
    </row>
    <row r="1193" spans="13:17" ht="20.100000000000001" customHeight="1">
      <c r="M1193" s="82"/>
      <c r="N1193" s="82"/>
      <c r="O1193" s="82"/>
      <c r="P1193" s="82"/>
      <c r="Q1193" s="82"/>
    </row>
    <row r="1194" spans="13:17" ht="20.100000000000001" customHeight="1">
      <c r="M1194" s="82"/>
      <c r="N1194" s="82"/>
      <c r="O1194" s="82"/>
      <c r="P1194" s="82"/>
      <c r="Q1194" s="82"/>
    </row>
    <row r="1195" spans="13:17" ht="20.100000000000001" customHeight="1">
      <c r="M1195" s="82"/>
      <c r="N1195" s="82"/>
      <c r="O1195" s="82"/>
      <c r="P1195" s="82"/>
      <c r="Q1195" s="82"/>
    </row>
    <row r="1196" spans="13:17" ht="20.100000000000001" customHeight="1">
      <c r="M1196" s="82"/>
      <c r="N1196" s="82"/>
      <c r="O1196" s="82"/>
      <c r="P1196" s="82"/>
      <c r="Q1196" s="82"/>
    </row>
    <row r="1197" spans="13:17" ht="20.100000000000001" customHeight="1">
      <c r="M1197" s="82"/>
      <c r="N1197" s="82"/>
      <c r="O1197" s="82"/>
      <c r="P1197" s="82"/>
      <c r="Q1197" s="82"/>
    </row>
    <row r="1198" spans="13:17" ht="20.100000000000001" customHeight="1">
      <c r="M1198" s="82"/>
      <c r="N1198" s="82"/>
      <c r="O1198" s="82"/>
      <c r="P1198" s="82"/>
      <c r="Q1198" s="82"/>
    </row>
    <row r="1199" spans="13:17" ht="20.100000000000001" customHeight="1">
      <c r="M1199" s="82"/>
      <c r="N1199" s="82"/>
      <c r="O1199" s="82"/>
      <c r="P1199" s="82"/>
      <c r="Q1199" s="82"/>
    </row>
    <row r="1200" spans="13:17" ht="20.100000000000001" customHeight="1">
      <c r="M1200" s="82"/>
      <c r="N1200" s="82"/>
      <c r="O1200" s="82"/>
      <c r="P1200" s="82"/>
      <c r="Q1200" s="82"/>
    </row>
    <row r="1201" spans="13:17" ht="20.100000000000001" customHeight="1">
      <c r="M1201" s="82"/>
      <c r="N1201" s="82"/>
      <c r="O1201" s="82"/>
      <c r="P1201" s="82"/>
      <c r="Q1201" s="82"/>
    </row>
    <row r="1202" spans="13:17" ht="20.100000000000001" customHeight="1">
      <c r="M1202" s="82"/>
      <c r="N1202" s="82"/>
      <c r="O1202" s="82"/>
      <c r="P1202" s="82"/>
      <c r="Q1202" s="82"/>
    </row>
    <row r="1203" spans="13:17" ht="20.100000000000001" customHeight="1">
      <c r="M1203" s="82"/>
      <c r="N1203" s="82"/>
      <c r="O1203" s="82"/>
      <c r="P1203" s="82"/>
      <c r="Q1203" s="82"/>
    </row>
    <row r="1204" spans="13:17" ht="20.100000000000001" customHeight="1">
      <c r="M1204" s="82"/>
      <c r="N1204" s="82"/>
      <c r="O1204" s="82"/>
      <c r="P1204" s="82"/>
      <c r="Q1204" s="82"/>
    </row>
    <row r="1205" spans="13:17" ht="20.100000000000001" customHeight="1">
      <c r="M1205" s="82"/>
      <c r="N1205" s="82"/>
      <c r="O1205" s="82"/>
      <c r="P1205" s="82"/>
      <c r="Q1205" s="82"/>
    </row>
    <row r="1206" spans="13:17" ht="20.100000000000001" customHeight="1">
      <c r="M1206" s="82"/>
      <c r="N1206" s="82"/>
      <c r="O1206" s="82"/>
      <c r="P1206" s="82"/>
      <c r="Q1206" s="82"/>
    </row>
    <row r="1207" spans="13:17" ht="20.100000000000001" customHeight="1">
      <c r="M1207" s="82"/>
      <c r="N1207" s="82"/>
      <c r="O1207" s="82"/>
      <c r="P1207" s="82"/>
      <c r="Q1207" s="82"/>
    </row>
    <row r="1208" spans="13:17" ht="20.100000000000001" customHeight="1">
      <c r="M1208" s="82"/>
      <c r="N1208" s="82"/>
      <c r="O1208" s="82"/>
      <c r="P1208" s="82"/>
      <c r="Q1208" s="82"/>
    </row>
    <row r="1209" spans="13:17" ht="20.100000000000001" customHeight="1">
      <c r="M1209" s="82"/>
      <c r="N1209" s="82"/>
      <c r="O1209" s="82"/>
      <c r="P1209" s="82"/>
      <c r="Q1209" s="82"/>
    </row>
    <row r="1210" spans="13:17" ht="20.100000000000001" customHeight="1">
      <c r="M1210" s="82"/>
      <c r="N1210" s="82"/>
      <c r="O1210" s="82"/>
      <c r="P1210" s="82"/>
      <c r="Q1210" s="82"/>
    </row>
    <row r="1211" spans="13:17" ht="20.100000000000001" customHeight="1">
      <c r="M1211" s="82"/>
      <c r="N1211" s="82"/>
      <c r="O1211" s="82"/>
      <c r="P1211" s="82"/>
      <c r="Q1211" s="82"/>
    </row>
    <row r="1212" spans="13:17" ht="20.100000000000001" customHeight="1">
      <c r="M1212" s="82"/>
      <c r="N1212" s="82"/>
      <c r="O1212" s="82"/>
      <c r="P1212" s="82"/>
      <c r="Q1212" s="82"/>
    </row>
    <row r="1213" spans="13:17" ht="20.100000000000001" customHeight="1">
      <c r="M1213" s="82"/>
      <c r="N1213" s="82"/>
      <c r="O1213" s="82"/>
      <c r="P1213" s="82"/>
      <c r="Q1213" s="82"/>
    </row>
    <row r="1214" spans="13:17" ht="20.100000000000001" customHeight="1">
      <c r="M1214" s="82"/>
      <c r="N1214" s="82"/>
      <c r="O1214" s="82"/>
      <c r="P1214" s="82"/>
      <c r="Q1214" s="82"/>
    </row>
    <row r="1215" spans="13:17" ht="20.100000000000001" customHeight="1">
      <c r="M1215" s="82"/>
      <c r="N1215" s="82"/>
      <c r="O1215" s="82"/>
      <c r="P1215" s="82"/>
      <c r="Q1215" s="82"/>
    </row>
    <row r="1216" spans="13:17" ht="20.100000000000001" customHeight="1">
      <c r="M1216" s="82"/>
      <c r="N1216" s="82"/>
      <c r="O1216" s="82"/>
      <c r="P1216" s="82"/>
      <c r="Q1216" s="82"/>
    </row>
    <row r="1217" spans="13:17" ht="20.100000000000001" customHeight="1">
      <c r="M1217" s="82"/>
      <c r="N1217" s="82"/>
      <c r="O1217" s="82"/>
      <c r="P1217" s="82"/>
      <c r="Q1217" s="82"/>
    </row>
    <row r="1218" spans="13:17" ht="20.100000000000001" customHeight="1">
      <c r="M1218" s="82"/>
      <c r="N1218" s="82"/>
      <c r="O1218" s="82"/>
      <c r="P1218" s="82"/>
      <c r="Q1218" s="82"/>
    </row>
    <row r="1219" spans="13:17" ht="20.100000000000001" customHeight="1">
      <c r="M1219" s="82"/>
      <c r="N1219" s="82"/>
      <c r="O1219" s="82"/>
      <c r="P1219" s="82"/>
      <c r="Q1219" s="82"/>
    </row>
    <row r="1220" spans="13:17" ht="20.100000000000001" customHeight="1">
      <c r="M1220" s="82"/>
      <c r="N1220" s="82"/>
      <c r="O1220" s="82"/>
      <c r="P1220" s="82"/>
      <c r="Q1220" s="82"/>
    </row>
    <row r="1221" spans="13:17" ht="20.100000000000001" customHeight="1">
      <c r="M1221" s="82"/>
      <c r="N1221" s="82"/>
      <c r="O1221" s="82"/>
      <c r="P1221" s="82"/>
      <c r="Q1221" s="82"/>
    </row>
    <row r="1222" spans="13:17" ht="20.100000000000001" customHeight="1">
      <c r="M1222" s="82"/>
      <c r="N1222" s="82"/>
      <c r="O1222" s="82"/>
      <c r="P1222" s="82"/>
      <c r="Q1222" s="82"/>
    </row>
    <row r="1223" spans="13:17" ht="20.100000000000001" customHeight="1">
      <c r="M1223" s="82"/>
      <c r="N1223" s="82"/>
      <c r="O1223" s="82"/>
      <c r="P1223" s="82"/>
      <c r="Q1223" s="82"/>
    </row>
    <row r="1224" spans="13:17" ht="20.100000000000001" customHeight="1">
      <c r="M1224" s="82"/>
      <c r="N1224" s="82"/>
      <c r="O1224" s="82"/>
      <c r="P1224" s="82"/>
      <c r="Q1224" s="82"/>
    </row>
    <row r="1225" spans="13:17" ht="20.100000000000001" customHeight="1">
      <c r="M1225" s="82"/>
      <c r="N1225" s="82"/>
      <c r="O1225" s="82"/>
      <c r="P1225" s="82"/>
      <c r="Q1225" s="82"/>
    </row>
    <row r="1226" spans="13:17" ht="20.100000000000001" customHeight="1">
      <c r="M1226" s="82"/>
      <c r="N1226" s="82"/>
      <c r="O1226" s="82"/>
      <c r="P1226" s="82"/>
      <c r="Q1226" s="82"/>
    </row>
    <row r="1227" spans="13:17" ht="20.100000000000001" customHeight="1">
      <c r="M1227" s="82"/>
      <c r="N1227" s="82"/>
      <c r="O1227" s="82"/>
      <c r="P1227" s="82"/>
      <c r="Q1227" s="82"/>
    </row>
    <row r="1228" spans="13:17" ht="20.100000000000001" customHeight="1">
      <c r="M1228" s="82"/>
      <c r="N1228" s="82"/>
      <c r="O1228" s="82"/>
      <c r="P1228" s="82"/>
      <c r="Q1228" s="82"/>
    </row>
    <row r="1229" spans="13:17" ht="20.100000000000001" customHeight="1">
      <c r="M1229" s="82"/>
      <c r="N1229" s="82"/>
      <c r="O1229" s="82"/>
      <c r="P1229" s="82"/>
      <c r="Q1229" s="82"/>
    </row>
    <row r="1230" spans="13:17" ht="20.100000000000001" customHeight="1">
      <c r="M1230" s="82"/>
      <c r="N1230" s="82"/>
      <c r="O1230" s="82"/>
      <c r="P1230" s="82"/>
      <c r="Q1230" s="82"/>
    </row>
    <row r="1231" spans="13:17" ht="20.100000000000001" customHeight="1">
      <c r="M1231" s="82"/>
      <c r="N1231" s="82"/>
      <c r="O1231" s="82"/>
      <c r="P1231" s="82"/>
      <c r="Q1231" s="82"/>
    </row>
    <row r="1232" spans="13:17" ht="20.100000000000001" customHeight="1">
      <c r="M1232" s="82"/>
      <c r="N1232" s="82"/>
      <c r="O1232" s="82"/>
      <c r="P1232" s="82"/>
      <c r="Q1232" s="82"/>
    </row>
    <row r="1233" spans="13:17" ht="20.100000000000001" customHeight="1">
      <c r="M1233" s="82"/>
      <c r="N1233" s="82"/>
      <c r="O1233" s="82"/>
      <c r="P1233" s="82"/>
      <c r="Q1233" s="82"/>
    </row>
    <row r="1234" spans="13:17" ht="20.100000000000001" customHeight="1">
      <c r="M1234" s="82"/>
      <c r="N1234" s="82"/>
      <c r="O1234" s="82"/>
      <c r="P1234" s="82"/>
      <c r="Q1234" s="82"/>
    </row>
    <row r="1235" spans="13:17" ht="20.100000000000001" customHeight="1">
      <c r="M1235" s="82"/>
      <c r="N1235" s="82"/>
      <c r="O1235" s="82"/>
      <c r="P1235" s="82"/>
      <c r="Q1235" s="82"/>
    </row>
    <row r="1236" spans="13:17" ht="20.100000000000001" customHeight="1">
      <c r="M1236" s="82"/>
      <c r="N1236" s="82"/>
      <c r="O1236" s="82"/>
      <c r="P1236" s="82"/>
      <c r="Q1236" s="82"/>
    </row>
    <row r="1237" spans="13:17" ht="20.100000000000001" customHeight="1">
      <c r="M1237" s="82"/>
      <c r="N1237" s="82"/>
      <c r="O1237" s="82"/>
      <c r="P1237" s="82"/>
      <c r="Q1237" s="82"/>
    </row>
    <row r="1238" spans="13:17" ht="20.100000000000001" customHeight="1">
      <c r="M1238" s="82"/>
      <c r="N1238" s="82"/>
      <c r="O1238" s="82"/>
      <c r="P1238" s="82"/>
      <c r="Q1238" s="82"/>
    </row>
    <row r="1239" spans="13:17" ht="20.100000000000001" customHeight="1">
      <c r="M1239" s="82"/>
      <c r="N1239" s="82"/>
      <c r="O1239" s="82"/>
      <c r="P1239" s="82"/>
      <c r="Q1239" s="82"/>
    </row>
    <row r="1240" spans="13:17" ht="20.100000000000001" customHeight="1">
      <c r="M1240" s="82"/>
      <c r="N1240" s="82"/>
      <c r="O1240" s="82"/>
      <c r="P1240" s="82"/>
      <c r="Q1240" s="82"/>
    </row>
    <row r="1241" spans="13:17" ht="20.100000000000001" customHeight="1">
      <c r="M1241" s="82"/>
      <c r="N1241" s="82"/>
      <c r="O1241" s="82"/>
      <c r="P1241" s="82"/>
      <c r="Q1241" s="82"/>
    </row>
    <row r="1242" spans="13:17" ht="20.100000000000001" customHeight="1">
      <c r="M1242" s="82"/>
      <c r="N1242" s="82"/>
      <c r="O1242" s="82"/>
      <c r="P1242" s="82"/>
      <c r="Q1242" s="82"/>
    </row>
    <row r="1243" spans="13:17" ht="20.100000000000001" customHeight="1">
      <c r="M1243" s="82"/>
      <c r="N1243" s="82"/>
      <c r="O1243" s="82"/>
      <c r="P1243" s="82"/>
      <c r="Q1243" s="82"/>
    </row>
    <row r="1244" spans="13:17" ht="20.100000000000001" customHeight="1">
      <c r="M1244" s="82"/>
      <c r="N1244" s="82"/>
      <c r="O1244" s="82"/>
      <c r="P1244" s="82"/>
      <c r="Q1244" s="82"/>
    </row>
    <row r="1245" spans="13:17" ht="20.100000000000001" customHeight="1">
      <c r="M1245" s="82"/>
      <c r="N1245" s="82"/>
      <c r="O1245" s="82"/>
      <c r="P1245" s="82"/>
      <c r="Q1245" s="82"/>
    </row>
    <row r="1246" spans="13:17" ht="20.100000000000001" customHeight="1">
      <c r="M1246" s="82"/>
      <c r="N1246" s="82"/>
      <c r="O1246" s="82"/>
      <c r="P1246" s="82"/>
      <c r="Q1246" s="82"/>
    </row>
    <row r="1247" spans="13:17" ht="20.100000000000001" customHeight="1">
      <c r="M1247" s="82"/>
      <c r="N1247" s="82"/>
      <c r="O1247" s="82"/>
      <c r="P1247" s="82"/>
      <c r="Q1247" s="82"/>
    </row>
    <row r="1248" spans="13:17" ht="20.100000000000001" customHeight="1">
      <c r="M1248" s="82"/>
      <c r="N1248" s="82"/>
      <c r="O1248" s="82"/>
      <c r="P1248" s="82"/>
      <c r="Q1248" s="82"/>
    </row>
    <row r="1249" spans="13:17" ht="20.100000000000001" customHeight="1">
      <c r="M1249" s="82"/>
      <c r="N1249" s="82"/>
      <c r="O1249" s="82"/>
      <c r="P1249" s="82"/>
      <c r="Q1249" s="82"/>
    </row>
    <row r="1250" spans="13:17" ht="20.100000000000001" customHeight="1">
      <c r="M1250" s="82"/>
      <c r="N1250" s="82"/>
      <c r="O1250" s="82"/>
      <c r="P1250" s="82"/>
      <c r="Q1250" s="82"/>
    </row>
    <row r="1251" spans="13:17" ht="20.100000000000001" customHeight="1">
      <c r="M1251" s="82"/>
      <c r="N1251" s="82"/>
      <c r="O1251" s="82"/>
      <c r="P1251" s="82"/>
      <c r="Q1251" s="82"/>
    </row>
    <row r="1252" spans="13:17" ht="20.100000000000001" customHeight="1">
      <c r="M1252" s="82"/>
      <c r="N1252" s="82"/>
      <c r="O1252" s="82"/>
      <c r="P1252" s="82"/>
      <c r="Q1252" s="82"/>
    </row>
    <row r="1253" spans="13:17" ht="20.100000000000001" customHeight="1">
      <c r="M1253" s="82"/>
      <c r="N1253" s="82"/>
      <c r="O1253" s="82"/>
      <c r="P1253" s="82"/>
      <c r="Q1253" s="82"/>
    </row>
    <row r="1254" spans="13:17" ht="20.100000000000001" customHeight="1">
      <c r="M1254" s="82"/>
      <c r="N1254" s="82"/>
      <c r="O1254" s="82"/>
      <c r="P1254" s="82"/>
      <c r="Q1254" s="82"/>
    </row>
    <row r="1255" spans="13:17" ht="20.100000000000001" customHeight="1">
      <c r="M1255" s="82"/>
      <c r="N1255" s="82"/>
      <c r="O1255" s="82"/>
      <c r="P1255" s="82"/>
      <c r="Q1255" s="82"/>
    </row>
    <row r="1256" spans="13:17" ht="20.100000000000001" customHeight="1">
      <c r="M1256" s="82"/>
      <c r="N1256" s="82"/>
      <c r="O1256" s="82"/>
      <c r="P1256" s="82"/>
      <c r="Q1256" s="82"/>
    </row>
    <row r="1257" spans="13:17" ht="20.100000000000001" customHeight="1">
      <c r="M1257" s="82"/>
      <c r="N1257" s="82"/>
      <c r="O1257" s="82"/>
      <c r="P1257" s="82"/>
      <c r="Q1257" s="82"/>
    </row>
    <row r="1258" spans="13:17" ht="20.100000000000001" customHeight="1">
      <c r="M1258" s="82"/>
      <c r="N1258" s="82"/>
      <c r="O1258" s="82"/>
      <c r="P1258" s="82"/>
      <c r="Q1258" s="82"/>
    </row>
    <row r="1259" spans="13:17" ht="20.100000000000001" customHeight="1">
      <c r="M1259" s="82"/>
      <c r="N1259" s="82"/>
      <c r="O1259" s="82"/>
      <c r="P1259" s="82"/>
      <c r="Q1259" s="82"/>
    </row>
    <row r="1260" spans="13:17" ht="20.100000000000001" customHeight="1">
      <c r="M1260" s="82"/>
      <c r="N1260" s="82"/>
      <c r="O1260" s="82"/>
      <c r="P1260" s="82"/>
      <c r="Q1260" s="82"/>
    </row>
    <row r="1261" spans="13:17" ht="20.100000000000001" customHeight="1">
      <c r="M1261" s="82"/>
      <c r="N1261" s="82"/>
      <c r="O1261" s="82"/>
      <c r="P1261" s="82"/>
      <c r="Q1261" s="82"/>
    </row>
    <row r="1262" spans="13:17" ht="20.100000000000001" customHeight="1">
      <c r="M1262" s="82"/>
      <c r="N1262" s="82"/>
      <c r="O1262" s="82"/>
      <c r="P1262" s="82"/>
      <c r="Q1262" s="82"/>
    </row>
    <row r="1263" spans="13:17" ht="20.100000000000001" customHeight="1">
      <c r="M1263" s="82"/>
      <c r="N1263" s="82"/>
      <c r="O1263" s="82"/>
      <c r="P1263" s="82"/>
      <c r="Q1263" s="82"/>
    </row>
    <row r="1264" spans="13:17" ht="20.100000000000001" customHeight="1">
      <c r="M1264" s="82"/>
      <c r="N1264" s="82"/>
      <c r="O1264" s="82"/>
      <c r="P1264" s="82"/>
      <c r="Q1264" s="82"/>
    </row>
    <row r="1265" spans="13:17" ht="20.100000000000001" customHeight="1">
      <c r="M1265" s="82"/>
      <c r="N1265" s="82"/>
      <c r="O1265" s="82"/>
      <c r="P1265" s="82"/>
      <c r="Q1265" s="82"/>
    </row>
    <row r="1266" spans="13:17" ht="20.100000000000001" customHeight="1">
      <c r="M1266" s="82"/>
      <c r="N1266" s="82"/>
      <c r="O1266" s="82"/>
      <c r="P1266" s="82"/>
      <c r="Q1266" s="82"/>
    </row>
    <row r="1267" spans="13:17" ht="20.100000000000001" customHeight="1">
      <c r="M1267" s="82"/>
      <c r="N1267" s="82"/>
      <c r="O1267" s="82"/>
      <c r="P1267" s="82"/>
      <c r="Q1267" s="82"/>
    </row>
    <row r="1268" spans="13:17" ht="20.100000000000001" customHeight="1">
      <c r="M1268" s="82"/>
      <c r="N1268" s="82"/>
      <c r="O1268" s="82"/>
      <c r="P1268" s="82"/>
      <c r="Q1268" s="82"/>
    </row>
    <row r="1269" spans="13:17" ht="20.100000000000001" customHeight="1">
      <c r="M1269" s="82"/>
      <c r="N1269" s="82"/>
      <c r="O1269" s="82"/>
      <c r="P1269" s="82"/>
      <c r="Q1269" s="82"/>
    </row>
    <row r="1270" spans="13:17" ht="20.100000000000001" customHeight="1">
      <c r="M1270" s="82"/>
      <c r="N1270" s="82"/>
      <c r="O1270" s="82"/>
      <c r="P1270" s="82"/>
      <c r="Q1270" s="82"/>
    </row>
    <row r="1271" spans="13:17" ht="20.100000000000001" customHeight="1">
      <c r="M1271" s="82"/>
      <c r="N1271" s="82"/>
      <c r="O1271" s="82"/>
      <c r="P1271" s="82"/>
      <c r="Q1271" s="82"/>
    </row>
    <row r="1272" spans="13:17" ht="20.100000000000001" customHeight="1">
      <c r="M1272" s="82"/>
      <c r="N1272" s="82"/>
      <c r="O1272" s="82"/>
      <c r="P1272" s="82"/>
      <c r="Q1272" s="82"/>
    </row>
    <row r="1273" spans="13:17" ht="20.100000000000001" customHeight="1">
      <c r="M1273" s="82"/>
      <c r="N1273" s="82"/>
      <c r="O1273" s="82"/>
      <c r="P1273" s="82"/>
      <c r="Q1273" s="82"/>
    </row>
    <row r="1274" spans="13:17" ht="20.100000000000001" customHeight="1">
      <c r="M1274" s="82"/>
      <c r="N1274" s="82"/>
      <c r="O1274" s="82"/>
      <c r="P1274" s="82"/>
      <c r="Q1274" s="82"/>
    </row>
    <row r="1275" spans="13:17" ht="20.100000000000001" customHeight="1">
      <c r="M1275" s="82"/>
      <c r="N1275" s="82"/>
      <c r="O1275" s="82"/>
      <c r="P1275" s="82"/>
      <c r="Q1275" s="82"/>
    </row>
    <row r="1276" spans="13:17" ht="20.100000000000001" customHeight="1">
      <c r="M1276" s="82"/>
      <c r="N1276" s="82"/>
      <c r="O1276" s="82"/>
      <c r="P1276" s="82"/>
      <c r="Q1276" s="82"/>
    </row>
    <row r="1277" spans="13:17" ht="20.100000000000001" customHeight="1">
      <c r="M1277" s="82"/>
      <c r="N1277" s="82"/>
      <c r="O1277" s="82"/>
      <c r="P1277" s="82"/>
      <c r="Q1277" s="82"/>
    </row>
    <row r="1278" spans="13:17" ht="20.100000000000001" customHeight="1">
      <c r="M1278" s="82"/>
      <c r="N1278" s="82"/>
      <c r="O1278" s="82"/>
      <c r="P1278" s="82"/>
      <c r="Q1278" s="82"/>
    </row>
    <row r="1279" spans="13:17" ht="20.100000000000001" customHeight="1">
      <c r="M1279" s="82"/>
      <c r="N1279" s="82"/>
      <c r="O1279" s="82"/>
      <c r="P1279" s="82"/>
      <c r="Q1279" s="82"/>
    </row>
    <row r="1280" spans="13:17" ht="20.100000000000001" customHeight="1">
      <c r="M1280" s="82"/>
      <c r="N1280" s="82"/>
      <c r="O1280" s="82"/>
      <c r="P1280" s="82"/>
      <c r="Q1280" s="82"/>
    </row>
    <row r="1281" spans="13:17" ht="20.100000000000001" customHeight="1">
      <c r="M1281" s="82"/>
      <c r="N1281" s="82"/>
      <c r="O1281" s="82"/>
      <c r="P1281" s="82"/>
      <c r="Q1281" s="82"/>
    </row>
    <row r="1282" spans="13:17" ht="20.100000000000001" customHeight="1">
      <c r="M1282" s="82"/>
      <c r="N1282" s="82"/>
      <c r="O1282" s="82"/>
      <c r="P1282" s="82"/>
      <c r="Q1282" s="82"/>
    </row>
    <row r="1283" spans="13:17" ht="20.100000000000001" customHeight="1">
      <c r="M1283" s="82"/>
      <c r="N1283" s="82"/>
      <c r="O1283" s="82"/>
      <c r="P1283" s="82"/>
      <c r="Q1283" s="82"/>
    </row>
    <row r="1284" spans="13:17" ht="20.100000000000001" customHeight="1">
      <c r="M1284" s="82"/>
      <c r="N1284" s="82"/>
      <c r="O1284" s="82"/>
      <c r="P1284" s="82"/>
      <c r="Q1284" s="82"/>
    </row>
    <row r="1285" spans="13:17" ht="20.100000000000001" customHeight="1">
      <c r="M1285" s="82"/>
      <c r="N1285" s="82"/>
      <c r="O1285" s="82"/>
      <c r="P1285" s="82"/>
      <c r="Q1285" s="82"/>
    </row>
    <row r="1286" spans="13:17" ht="20.100000000000001" customHeight="1">
      <c r="M1286" s="82"/>
      <c r="N1286" s="82"/>
      <c r="O1286" s="82"/>
      <c r="P1286" s="82"/>
      <c r="Q1286" s="82"/>
    </row>
    <row r="1287" spans="13:17" ht="20.100000000000001" customHeight="1">
      <c r="M1287" s="82"/>
      <c r="N1287" s="82"/>
      <c r="O1287" s="82"/>
      <c r="P1287" s="82"/>
      <c r="Q1287" s="82"/>
    </row>
    <row r="1288" spans="13:17" ht="20.100000000000001" customHeight="1">
      <c r="M1288" s="82"/>
      <c r="N1288" s="82"/>
      <c r="O1288" s="82"/>
      <c r="P1288" s="82"/>
      <c r="Q1288" s="82"/>
    </row>
    <row r="1289" spans="13:17" ht="20.100000000000001" customHeight="1">
      <c r="M1289" s="82"/>
      <c r="N1289" s="82"/>
      <c r="O1289" s="82"/>
      <c r="P1289" s="82"/>
      <c r="Q1289" s="82"/>
    </row>
    <row r="1290" spans="13:17" ht="20.100000000000001" customHeight="1">
      <c r="M1290" s="82"/>
      <c r="N1290" s="82"/>
      <c r="O1290" s="82"/>
      <c r="P1290" s="82"/>
      <c r="Q1290" s="82"/>
    </row>
    <row r="1291" spans="13:17" ht="20.100000000000001" customHeight="1">
      <c r="M1291" s="82"/>
      <c r="N1291" s="82"/>
      <c r="O1291" s="82"/>
      <c r="P1291" s="82"/>
      <c r="Q1291" s="82"/>
    </row>
    <row r="1292" spans="13:17" ht="20.100000000000001" customHeight="1">
      <c r="M1292" s="82"/>
      <c r="N1292" s="82"/>
      <c r="O1292" s="82"/>
      <c r="P1292" s="82"/>
      <c r="Q1292" s="82"/>
    </row>
    <row r="1293" spans="13:17" ht="20.100000000000001" customHeight="1">
      <c r="M1293" s="82"/>
      <c r="N1293" s="82"/>
      <c r="O1293" s="82"/>
      <c r="P1293" s="82"/>
      <c r="Q1293" s="82"/>
    </row>
    <row r="1294" spans="13:17" ht="20.100000000000001" customHeight="1">
      <c r="M1294" s="82"/>
      <c r="N1294" s="82"/>
      <c r="O1294" s="82"/>
      <c r="P1294" s="82"/>
      <c r="Q1294" s="82"/>
    </row>
    <row r="1295" spans="13:17" ht="20.100000000000001" customHeight="1">
      <c r="M1295" s="82"/>
      <c r="N1295" s="82"/>
      <c r="O1295" s="82"/>
      <c r="P1295" s="82"/>
      <c r="Q1295" s="82"/>
    </row>
    <row r="1296" spans="13:17" ht="20.100000000000001" customHeight="1">
      <c r="M1296" s="82"/>
      <c r="N1296" s="82"/>
      <c r="O1296" s="82"/>
      <c r="P1296" s="82"/>
      <c r="Q1296" s="82"/>
    </row>
    <row r="1297" spans="13:17" ht="20.100000000000001" customHeight="1">
      <c r="M1297" s="82"/>
      <c r="N1297" s="82"/>
      <c r="O1297" s="82"/>
      <c r="P1297" s="82"/>
      <c r="Q1297" s="82"/>
    </row>
    <row r="1298" spans="13:17" ht="20.100000000000001" customHeight="1">
      <c r="M1298" s="82"/>
      <c r="N1298" s="82"/>
      <c r="O1298" s="82"/>
      <c r="P1298" s="82"/>
      <c r="Q1298" s="82"/>
    </row>
    <row r="1299" spans="13:17" ht="20.100000000000001" customHeight="1">
      <c r="M1299" s="82"/>
      <c r="N1299" s="82"/>
      <c r="O1299" s="82"/>
      <c r="P1299" s="82"/>
      <c r="Q1299" s="82"/>
    </row>
    <row r="1300" spans="13:17" ht="20.100000000000001" customHeight="1">
      <c r="M1300" s="82"/>
      <c r="N1300" s="82"/>
      <c r="O1300" s="82"/>
      <c r="P1300" s="82"/>
      <c r="Q1300" s="82"/>
    </row>
    <row r="1301" spans="13:17" ht="20.100000000000001" customHeight="1">
      <c r="M1301" s="82"/>
      <c r="N1301" s="82"/>
      <c r="O1301" s="82"/>
      <c r="P1301" s="82"/>
      <c r="Q1301" s="82"/>
    </row>
    <row r="1302" spans="13:17" ht="20.100000000000001" customHeight="1">
      <c r="M1302" s="82"/>
      <c r="N1302" s="82"/>
      <c r="O1302" s="82"/>
      <c r="P1302" s="82"/>
      <c r="Q1302" s="82"/>
    </row>
    <row r="1303" spans="13:17" ht="20.100000000000001" customHeight="1">
      <c r="M1303" s="82"/>
      <c r="N1303" s="82"/>
      <c r="O1303" s="82"/>
      <c r="P1303" s="82"/>
      <c r="Q1303" s="82"/>
    </row>
    <row r="1304" spans="13:17" ht="20.100000000000001" customHeight="1">
      <c r="M1304" s="82"/>
      <c r="N1304" s="82"/>
      <c r="O1304" s="82"/>
      <c r="P1304" s="82"/>
      <c r="Q1304" s="82"/>
    </row>
    <row r="1305" spans="13:17" ht="20.100000000000001" customHeight="1">
      <c r="M1305" s="82"/>
      <c r="N1305" s="82"/>
      <c r="O1305" s="82"/>
      <c r="P1305" s="82"/>
      <c r="Q1305" s="82"/>
    </row>
    <row r="1306" spans="13:17" ht="20.100000000000001" customHeight="1">
      <c r="M1306" s="82"/>
      <c r="N1306" s="82"/>
      <c r="O1306" s="82"/>
      <c r="P1306" s="82"/>
      <c r="Q1306" s="82"/>
    </row>
  </sheetData>
  <mergeCells count="997">
    <mergeCell ref="E785:I785"/>
    <mergeCell ref="J785:K785"/>
    <mergeCell ref="E786:I786"/>
    <mergeCell ref="J786:K786"/>
    <mergeCell ref="E787:K787"/>
    <mergeCell ref="G179:J179"/>
    <mergeCell ref="G181:J181"/>
    <mergeCell ref="E201:K201"/>
    <mergeCell ref="E648:J648"/>
    <mergeCell ref="G714:J714"/>
    <mergeCell ref="G780:I780"/>
    <mergeCell ref="E781:K781"/>
    <mergeCell ref="G782:I782"/>
    <mergeCell ref="E783:K783"/>
    <mergeCell ref="E784:I784"/>
    <mergeCell ref="J784:K784"/>
    <mergeCell ref="G775:I775"/>
    <mergeCell ref="J776:K776"/>
    <mergeCell ref="G777:I777"/>
    <mergeCell ref="J778:K778"/>
    <mergeCell ref="E779:I779"/>
    <mergeCell ref="J779:K779"/>
    <mergeCell ref="G769:I769"/>
    <mergeCell ref="J770:K770"/>
    <mergeCell ref="G771:I771"/>
    <mergeCell ref="J772:K772"/>
    <mergeCell ref="G773:I773"/>
    <mergeCell ref="J774:K774"/>
    <mergeCell ref="G764:I764"/>
    <mergeCell ref="J765:K765"/>
    <mergeCell ref="G766:I766"/>
    <mergeCell ref="J767:K767"/>
    <mergeCell ref="E768:I768"/>
    <mergeCell ref="J768:K768"/>
    <mergeCell ref="G758:I758"/>
    <mergeCell ref="J759:K759"/>
    <mergeCell ref="G760:I760"/>
    <mergeCell ref="J761:K761"/>
    <mergeCell ref="G762:I762"/>
    <mergeCell ref="J763:K763"/>
    <mergeCell ref="G753:I753"/>
    <mergeCell ref="J754:K754"/>
    <mergeCell ref="G755:I755"/>
    <mergeCell ref="J756:K756"/>
    <mergeCell ref="E757:I757"/>
    <mergeCell ref="J757:K757"/>
    <mergeCell ref="G747:I747"/>
    <mergeCell ref="J748:K748"/>
    <mergeCell ref="G749:I749"/>
    <mergeCell ref="J750:K750"/>
    <mergeCell ref="G751:I751"/>
    <mergeCell ref="J752:K752"/>
    <mergeCell ref="J741:K741"/>
    <mergeCell ref="G742:I742"/>
    <mergeCell ref="J743:K743"/>
    <mergeCell ref="G744:I744"/>
    <mergeCell ref="J745:K745"/>
    <mergeCell ref="E746:I746"/>
    <mergeCell ref="J746:K746"/>
    <mergeCell ref="G736:I736"/>
    <mergeCell ref="G737:I737"/>
    <mergeCell ref="J737:K737"/>
    <mergeCell ref="G738:I738"/>
    <mergeCell ref="J739:K739"/>
    <mergeCell ref="G740:I740"/>
    <mergeCell ref="E730:K730"/>
    <mergeCell ref="I734:K734"/>
    <mergeCell ref="E735:I735"/>
    <mergeCell ref="J735:K735"/>
    <mergeCell ref="G733:J733"/>
    <mergeCell ref="I732:K732"/>
    <mergeCell ref="G726:I726"/>
    <mergeCell ref="E727:I727"/>
    <mergeCell ref="J727:K727"/>
    <mergeCell ref="E728:K728"/>
    <mergeCell ref="E729:I729"/>
    <mergeCell ref="J729:K729"/>
    <mergeCell ref="G720:I720"/>
    <mergeCell ref="E721:K721"/>
    <mergeCell ref="G722:I722"/>
    <mergeCell ref="E723:K723"/>
    <mergeCell ref="G724:I724"/>
    <mergeCell ref="E725:K725"/>
    <mergeCell ref="I715:K715"/>
    <mergeCell ref="G716:I716"/>
    <mergeCell ref="G718:I718"/>
    <mergeCell ref="I719:K719"/>
    <mergeCell ref="I717:K717"/>
    <mergeCell ref="G708:I708"/>
    <mergeCell ref="G710:I710"/>
    <mergeCell ref="I711:K711"/>
    <mergeCell ref="G712:I712"/>
    <mergeCell ref="I709:K709"/>
    <mergeCell ref="I713:K713"/>
    <mergeCell ref="G702:I702"/>
    <mergeCell ref="I703:K703"/>
    <mergeCell ref="G704:I704"/>
    <mergeCell ref="G706:I706"/>
    <mergeCell ref="I707:K707"/>
    <mergeCell ref="E698:I698"/>
    <mergeCell ref="J698:K698"/>
    <mergeCell ref="E699:I699"/>
    <mergeCell ref="J699:K699"/>
    <mergeCell ref="G700:I700"/>
    <mergeCell ref="J701:K701"/>
    <mergeCell ref="I705:K705"/>
    <mergeCell ref="G694:I694"/>
    <mergeCell ref="E695:I695"/>
    <mergeCell ref="J695:K695"/>
    <mergeCell ref="E696:I696"/>
    <mergeCell ref="J696:K696"/>
    <mergeCell ref="E697:I697"/>
    <mergeCell ref="J697:K697"/>
    <mergeCell ref="E691:I691"/>
    <mergeCell ref="J691:K691"/>
    <mergeCell ref="E692:I692"/>
    <mergeCell ref="J692:K692"/>
    <mergeCell ref="E693:I693"/>
    <mergeCell ref="J693:K693"/>
    <mergeCell ref="E687:I687"/>
    <mergeCell ref="J687:K687"/>
    <mergeCell ref="E688:I688"/>
    <mergeCell ref="J688:K688"/>
    <mergeCell ref="G689:I689"/>
    <mergeCell ref="E690:I690"/>
    <mergeCell ref="J690:K690"/>
    <mergeCell ref="J683:K683"/>
    <mergeCell ref="G684:I684"/>
    <mergeCell ref="E685:I685"/>
    <mergeCell ref="J685:K685"/>
    <mergeCell ref="E686:I686"/>
    <mergeCell ref="J686:K686"/>
    <mergeCell ref="J677:K677"/>
    <mergeCell ref="E678:I678"/>
    <mergeCell ref="J679:K679"/>
    <mergeCell ref="E680:I680"/>
    <mergeCell ref="J681:K681"/>
    <mergeCell ref="E682:I682"/>
    <mergeCell ref="E671:I671"/>
    <mergeCell ref="J672:K672"/>
    <mergeCell ref="E673:I673"/>
    <mergeCell ref="J674:K674"/>
    <mergeCell ref="G675:I675"/>
    <mergeCell ref="E676:I676"/>
    <mergeCell ref="J665:K665"/>
    <mergeCell ref="G666:I666"/>
    <mergeCell ref="E667:I667"/>
    <mergeCell ref="J668:K668"/>
    <mergeCell ref="E669:I669"/>
    <mergeCell ref="J670:K670"/>
    <mergeCell ref="J659:K659"/>
    <mergeCell ref="E660:I660"/>
    <mergeCell ref="J661:K661"/>
    <mergeCell ref="E662:I662"/>
    <mergeCell ref="J663:K663"/>
    <mergeCell ref="E664:I664"/>
    <mergeCell ref="E654:K654"/>
    <mergeCell ref="E655:J655"/>
    <mergeCell ref="E656:I656"/>
    <mergeCell ref="J656:K656"/>
    <mergeCell ref="G657:I657"/>
    <mergeCell ref="E658:I658"/>
    <mergeCell ref="E650:I650"/>
    <mergeCell ref="J650:K650"/>
    <mergeCell ref="G651:I651"/>
    <mergeCell ref="E652:I652"/>
    <mergeCell ref="J652:K652"/>
    <mergeCell ref="G653:I653"/>
    <mergeCell ref="E646:I646"/>
    <mergeCell ref="J646:K646"/>
    <mergeCell ref="E647:I647"/>
    <mergeCell ref="J647:K647"/>
    <mergeCell ref="E649:K649"/>
    <mergeCell ref="G642:I642"/>
    <mergeCell ref="F643:K643"/>
    <mergeCell ref="E644:I644"/>
    <mergeCell ref="J644:K644"/>
    <mergeCell ref="E645:I645"/>
    <mergeCell ref="J645:K645"/>
    <mergeCell ref="G638:I638"/>
    <mergeCell ref="E639:I639"/>
    <mergeCell ref="J639:K639"/>
    <mergeCell ref="G640:I640"/>
    <mergeCell ref="E641:I641"/>
    <mergeCell ref="J641:K641"/>
    <mergeCell ref="G633:I633"/>
    <mergeCell ref="E634:K634"/>
    <mergeCell ref="G635:I635"/>
    <mergeCell ref="E636:K636"/>
    <mergeCell ref="E637:I637"/>
    <mergeCell ref="J637:K637"/>
    <mergeCell ref="G628:I628"/>
    <mergeCell ref="E629:K629"/>
    <mergeCell ref="G630:I630"/>
    <mergeCell ref="F631:K631"/>
    <mergeCell ref="E632:I632"/>
    <mergeCell ref="J632:K632"/>
    <mergeCell ref="E624:K624"/>
    <mergeCell ref="E625:I625"/>
    <mergeCell ref="J625:K625"/>
    <mergeCell ref="E626:K626"/>
    <mergeCell ref="E627:I627"/>
    <mergeCell ref="J627:K627"/>
    <mergeCell ref="E618:K618"/>
    <mergeCell ref="E620:I620"/>
    <mergeCell ref="J620:K620"/>
    <mergeCell ref="G621:I621"/>
    <mergeCell ref="E622:K622"/>
    <mergeCell ref="G623:I623"/>
    <mergeCell ref="G612:I612"/>
    <mergeCell ref="F613:K613"/>
    <mergeCell ref="E614:I614"/>
    <mergeCell ref="G615:I615"/>
    <mergeCell ref="E616:K616"/>
    <mergeCell ref="G617:I617"/>
    <mergeCell ref="G607:I607"/>
    <mergeCell ref="E608:K608"/>
    <mergeCell ref="E609:I609"/>
    <mergeCell ref="J609:K609"/>
    <mergeCell ref="G610:I610"/>
    <mergeCell ref="E611:K611"/>
    <mergeCell ref="G601:I601"/>
    <mergeCell ref="E602:K602"/>
    <mergeCell ref="G603:I603"/>
    <mergeCell ref="E604:K604"/>
    <mergeCell ref="G605:I605"/>
    <mergeCell ref="E606:K606"/>
    <mergeCell ref="G596:I596"/>
    <mergeCell ref="E597:I597"/>
    <mergeCell ref="J597:K597"/>
    <mergeCell ref="G598:I598"/>
    <mergeCell ref="G599:K599"/>
    <mergeCell ref="E600:I600"/>
    <mergeCell ref="J600:K600"/>
    <mergeCell ref="G591:I591"/>
    <mergeCell ref="E592:K592"/>
    <mergeCell ref="G593:I593"/>
    <mergeCell ref="E594:K594"/>
    <mergeCell ref="E595:I595"/>
    <mergeCell ref="J595:K595"/>
    <mergeCell ref="G585:I585"/>
    <mergeCell ref="E586:K586"/>
    <mergeCell ref="G587:I587"/>
    <mergeCell ref="I588:K588"/>
    <mergeCell ref="G589:I589"/>
    <mergeCell ref="I590:K590"/>
    <mergeCell ref="G579:I579"/>
    <mergeCell ref="E580:K580"/>
    <mergeCell ref="G581:I581"/>
    <mergeCell ref="F582:K582"/>
    <mergeCell ref="G583:I583"/>
    <mergeCell ref="F584:K584"/>
    <mergeCell ref="G574:I574"/>
    <mergeCell ref="F575:K575"/>
    <mergeCell ref="G576:I576"/>
    <mergeCell ref="E577:K577"/>
    <mergeCell ref="E578:I578"/>
    <mergeCell ref="J578:K578"/>
    <mergeCell ref="E569:K569"/>
    <mergeCell ref="E570:J570"/>
    <mergeCell ref="E571:I571"/>
    <mergeCell ref="J571:K571"/>
    <mergeCell ref="G572:I572"/>
    <mergeCell ref="E573:K573"/>
    <mergeCell ref="E564:I564"/>
    <mergeCell ref="J564:K564"/>
    <mergeCell ref="E565:I565"/>
    <mergeCell ref="G566:I566"/>
    <mergeCell ref="J567:K567"/>
    <mergeCell ref="G568:I568"/>
    <mergeCell ref="E560:I560"/>
    <mergeCell ref="J560:K560"/>
    <mergeCell ref="G561:K561"/>
    <mergeCell ref="E562:K562"/>
    <mergeCell ref="E563:I563"/>
    <mergeCell ref="J563:K563"/>
    <mergeCell ref="E555:K555"/>
    <mergeCell ref="G556:I556"/>
    <mergeCell ref="E557:K557"/>
    <mergeCell ref="E558:I558"/>
    <mergeCell ref="J558:K558"/>
    <mergeCell ref="G559:I559"/>
    <mergeCell ref="G549:I549"/>
    <mergeCell ref="E550:K550"/>
    <mergeCell ref="G551:I551"/>
    <mergeCell ref="E552:K552"/>
    <mergeCell ref="E553:I553"/>
    <mergeCell ref="G554:I554"/>
    <mergeCell ref="E545:I545"/>
    <mergeCell ref="J545:K545"/>
    <mergeCell ref="G546:I546"/>
    <mergeCell ref="E547:I547"/>
    <mergeCell ref="J547:K547"/>
    <mergeCell ref="E548:I548"/>
    <mergeCell ref="J548:K548"/>
    <mergeCell ref="G541:I541"/>
    <mergeCell ref="E542:I542"/>
    <mergeCell ref="J542:K542"/>
    <mergeCell ref="E543:I543"/>
    <mergeCell ref="J543:K543"/>
    <mergeCell ref="G544:I544"/>
    <mergeCell ref="G537:I537"/>
    <mergeCell ref="E538:I538"/>
    <mergeCell ref="J538:K538"/>
    <mergeCell ref="G539:I539"/>
    <mergeCell ref="E540:I540"/>
    <mergeCell ref="J540:K540"/>
    <mergeCell ref="E533:K533"/>
    <mergeCell ref="E534:I534"/>
    <mergeCell ref="J534:K534"/>
    <mergeCell ref="E535:K535"/>
    <mergeCell ref="E536:I536"/>
    <mergeCell ref="J536:K536"/>
    <mergeCell ref="E529:I529"/>
    <mergeCell ref="J529:K529"/>
    <mergeCell ref="G530:I530"/>
    <mergeCell ref="E531:I531"/>
    <mergeCell ref="J531:K531"/>
    <mergeCell ref="G532:I532"/>
    <mergeCell ref="E524:I524"/>
    <mergeCell ref="J524:K524"/>
    <mergeCell ref="G525:I525"/>
    <mergeCell ref="E526:K526"/>
    <mergeCell ref="G527:I527"/>
    <mergeCell ref="E528:K528"/>
    <mergeCell ref="G518:I518"/>
    <mergeCell ref="E519:K519"/>
    <mergeCell ref="G520:I520"/>
    <mergeCell ref="E521:K521"/>
    <mergeCell ref="G522:I522"/>
    <mergeCell ref="E523:K523"/>
    <mergeCell ref="G512:I512"/>
    <mergeCell ref="E513:K513"/>
    <mergeCell ref="G514:I514"/>
    <mergeCell ref="E515:K515"/>
    <mergeCell ref="G516:I516"/>
    <mergeCell ref="E517:K517"/>
    <mergeCell ref="G507:I507"/>
    <mergeCell ref="E508:K508"/>
    <mergeCell ref="E509:I509"/>
    <mergeCell ref="J509:K509"/>
    <mergeCell ref="E510:K510"/>
    <mergeCell ref="E511:I511"/>
    <mergeCell ref="J511:K511"/>
    <mergeCell ref="G501:I501"/>
    <mergeCell ref="E502:K502"/>
    <mergeCell ref="G503:I503"/>
    <mergeCell ref="E504:K504"/>
    <mergeCell ref="G505:I505"/>
    <mergeCell ref="E506:K506"/>
    <mergeCell ref="G496:I496"/>
    <mergeCell ref="E497:I497"/>
    <mergeCell ref="J497:K497"/>
    <mergeCell ref="G498:I498"/>
    <mergeCell ref="E499:K499"/>
    <mergeCell ref="E500:I500"/>
    <mergeCell ref="J500:K500"/>
    <mergeCell ref="G491:I491"/>
    <mergeCell ref="E492:K492"/>
    <mergeCell ref="G493:I493"/>
    <mergeCell ref="F494:K494"/>
    <mergeCell ref="E495:I495"/>
    <mergeCell ref="J495:K495"/>
    <mergeCell ref="G486:I486"/>
    <mergeCell ref="E487:K487"/>
    <mergeCell ref="G488:I488"/>
    <mergeCell ref="E489:K489"/>
    <mergeCell ref="E490:I490"/>
    <mergeCell ref="J490:K490"/>
    <mergeCell ref="G481:I481"/>
    <mergeCell ref="E482:K482"/>
    <mergeCell ref="G483:I483"/>
    <mergeCell ref="E484:K484"/>
    <mergeCell ref="E485:I485"/>
    <mergeCell ref="J485:K485"/>
    <mergeCell ref="E477:K477"/>
    <mergeCell ref="E478:I478"/>
    <mergeCell ref="J478:K478"/>
    <mergeCell ref="G479:I479"/>
    <mergeCell ref="E480:I480"/>
    <mergeCell ref="J480:K480"/>
    <mergeCell ref="E472:K472"/>
    <mergeCell ref="E473:I473"/>
    <mergeCell ref="J473:K473"/>
    <mergeCell ref="G474:I474"/>
    <mergeCell ref="E475:K475"/>
    <mergeCell ref="G476:I476"/>
    <mergeCell ref="E467:K467"/>
    <mergeCell ref="E468:I468"/>
    <mergeCell ref="J468:K468"/>
    <mergeCell ref="G469:I469"/>
    <mergeCell ref="E470:K470"/>
    <mergeCell ref="G471:I471"/>
    <mergeCell ref="E462:K462"/>
    <mergeCell ref="E463:I463"/>
    <mergeCell ref="J463:K463"/>
    <mergeCell ref="G464:I464"/>
    <mergeCell ref="E465:K465"/>
    <mergeCell ref="G466:I466"/>
    <mergeCell ref="E456:K456"/>
    <mergeCell ref="G457:I457"/>
    <mergeCell ref="E458:K458"/>
    <mergeCell ref="G459:I459"/>
    <mergeCell ref="E460:K460"/>
    <mergeCell ref="G461:I461"/>
    <mergeCell ref="E450:K450"/>
    <mergeCell ref="G451:I451"/>
    <mergeCell ref="E452:K452"/>
    <mergeCell ref="G453:I453"/>
    <mergeCell ref="E454:K454"/>
    <mergeCell ref="G455:I455"/>
    <mergeCell ref="E444:K444"/>
    <mergeCell ref="G445:I445"/>
    <mergeCell ref="F446:K446"/>
    <mergeCell ref="G447:I447"/>
    <mergeCell ref="E448:K448"/>
    <mergeCell ref="G449:I449"/>
    <mergeCell ref="E439:K439"/>
    <mergeCell ref="E440:I440"/>
    <mergeCell ref="J440:K440"/>
    <mergeCell ref="G441:I441"/>
    <mergeCell ref="E442:K442"/>
    <mergeCell ref="G443:I443"/>
    <mergeCell ref="G434:I434"/>
    <mergeCell ref="E435:I435"/>
    <mergeCell ref="J435:K435"/>
    <mergeCell ref="G436:I436"/>
    <mergeCell ref="E437:K437"/>
    <mergeCell ref="G438:I438"/>
    <mergeCell ref="G429:I429"/>
    <mergeCell ref="E430:K430"/>
    <mergeCell ref="G431:I431"/>
    <mergeCell ref="F432:K432"/>
    <mergeCell ref="E433:I433"/>
    <mergeCell ref="J433:K433"/>
    <mergeCell ref="G424:I424"/>
    <mergeCell ref="E425:K425"/>
    <mergeCell ref="E426:I426"/>
    <mergeCell ref="J426:K426"/>
    <mergeCell ref="G427:I427"/>
    <mergeCell ref="E428:K428"/>
    <mergeCell ref="E419:I419"/>
    <mergeCell ref="J419:K419"/>
    <mergeCell ref="G420:I420"/>
    <mergeCell ref="E421:K421"/>
    <mergeCell ref="G422:I422"/>
    <mergeCell ref="E423:K423"/>
    <mergeCell ref="G413:I413"/>
    <mergeCell ref="E414:K414"/>
    <mergeCell ref="G415:I415"/>
    <mergeCell ref="E416:K416"/>
    <mergeCell ref="G417:I417"/>
    <mergeCell ref="E418:K418"/>
    <mergeCell ref="G408:I408"/>
    <mergeCell ref="E409:K409"/>
    <mergeCell ref="G410:I410"/>
    <mergeCell ref="E411:K411"/>
    <mergeCell ref="E412:I412"/>
    <mergeCell ref="J412:K412"/>
    <mergeCell ref="G403:J403"/>
    <mergeCell ref="E404:K404"/>
    <mergeCell ref="E405:I405"/>
    <mergeCell ref="J405:K405"/>
    <mergeCell ref="G406:I406"/>
    <mergeCell ref="E407:K407"/>
    <mergeCell ref="G397:J397"/>
    <mergeCell ref="E398:K398"/>
    <mergeCell ref="G399:I399"/>
    <mergeCell ref="E400:K400"/>
    <mergeCell ref="G401:J401"/>
    <mergeCell ref="E402:K402"/>
    <mergeCell ref="E392:I392"/>
    <mergeCell ref="J392:K392"/>
    <mergeCell ref="G393:I393"/>
    <mergeCell ref="E394:K394"/>
    <mergeCell ref="G395:J395"/>
    <mergeCell ref="E396:K396"/>
    <mergeCell ref="G386:I386"/>
    <mergeCell ref="E387:K387"/>
    <mergeCell ref="G388:I388"/>
    <mergeCell ref="E389:K389"/>
    <mergeCell ref="G390:I390"/>
    <mergeCell ref="E391:K391"/>
    <mergeCell ref="G380:I380"/>
    <mergeCell ref="E381:K381"/>
    <mergeCell ref="G382:I382"/>
    <mergeCell ref="E383:K383"/>
    <mergeCell ref="G384:I384"/>
    <mergeCell ref="E385:K385"/>
    <mergeCell ref="E373:K373"/>
    <mergeCell ref="G374:I374"/>
    <mergeCell ref="E375:K375"/>
    <mergeCell ref="G376:I376"/>
    <mergeCell ref="E377:K377"/>
    <mergeCell ref="F379:K379"/>
    <mergeCell ref="G369:I369"/>
    <mergeCell ref="E370:I370"/>
    <mergeCell ref="J370:K370"/>
    <mergeCell ref="E371:I371"/>
    <mergeCell ref="J371:K371"/>
    <mergeCell ref="G372:I372"/>
    <mergeCell ref="G363:I363"/>
    <mergeCell ref="E364:K364"/>
    <mergeCell ref="G365:I365"/>
    <mergeCell ref="E366:K366"/>
    <mergeCell ref="G367:I367"/>
    <mergeCell ref="E368:I368"/>
    <mergeCell ref="J368:K368"/>
    <mergeCell ref="G359:I359"/>
    <mergeCell ref="E360:I360"/>
    <mergeCell ref="J360:K360"/>
    <mergeCell ref="G361:I361"/>
    <mergeCell ref="E362:I362"/>
    <mergeCell ref="J362:K362"/>
    <mergeCell ref="G353:I353"/>
    <mergeCell ref="E354:K354"/>
    <mergeCell ref="G355:I355"/>
    <mergeCell ref="E356:K356"/>
    <mergeCell ref="G357:I357"/>
    <mergeCell ref="E358:I358"/>
    <mergeCell ref="J358:K358"/>
    <mergeCell ref="G347:I347"/>
    <mergeCell ref="E348:K348"/>
    <mergeCell ref="G349:I349"/>
    <mergeCell ref="E350:K350"/>
    <mergeCell ref="G351:I351"/>
    <mergeCell ref="E352:K352"/>
    <mergeCell ref="G341:I341"/>
    <mergeCell ref="E342:K342"/>
    <mergeCell ref="G343:I343"/>
    <mergeCell ref="E344:K344"/>
    <mergeCell ref="G345:I345"/>
    <mergeCell ref="E346:K346"/>
    <mergeCell ref="E336:I336"/>
    <mergeCell ref="J336:K336"/>
    <mergeCell ref="G337:I337"/>
    <mergeCell ref="E338:K338"/>
    <mergeCell ref="G339:I339"/>
    <mergeCell ref="F340:K340"/>
    <mergeCell ref="E331:I331"/>
    <mergeCell ref="J331:K331"/>
    <mergeCell ref="G332:I332"/>
    <mergeCell ref="E333:K333"/>
    <mergeCell ref="G334:I334"/>
    <mergeCell ref="E335:K335"/>
    <mergeCell ref="I325:K325"/>
    <mergeCell ref="E326:I326"/>
    <mergeCell ref="G327:I327"/>
    <mergeCell ref="E328:K328"/>
    <mergeCell ref="G329:I329"/>
    <mergeCell ref="E330:K330"/>
    <mergeCell ref="E320:J320"/>
    <mergeCell ref="E321:I321"/>
    <mergeCell ref="J321:K321"/>
    <mergeCell ref="G322:I322"/>
    <mergeCell ref="E323:K323"/>
    <mergeCell ref="G324:J324"/>
    <mergeCell ref="G316:I316"/>
    <mergeCell ref="J317:K317"/>
    <mergeCell ref="E318:I318"/>
    <mergeCell ref="J318:K318"/>
    <mergeCell ref="E319:I319"/>
    <mergeCell ref="J319:K319"/>
    <mergeCell ref="E311:I311"/>
    <mergeCell ref="J311:K311"/>
    <mergeCell ref="G312:I312"/>
    <mergeCell ref="J313:K313"/>
    <mergeCell ref="G314:I314"/>
    <mergeCell ref="J315:K315"/>
    <mergeCell ref="G305:I305"/>
    <mergeCell ref="J306:K306"/>
    <mergeCell ref="G307:I307"/>
    <mergeCell ref="J308:K308"/>
    <mergeCell ref="G309:I309"/>
    <mergeCell ref="J310:K310"/>
    <mergeCell ref="G299:I299"/>
    <mergeCell ref="J300:K300"/>
    <mergeCell ref="G301:I301"/>
    <mergeCell ref="J302:K302"/>
    <mergeCell ref="G303:I303"/>
    <mergeCell ref="J304:K304"/>
    <mergeCell ref="J293:K293"/>
    <mergeCell ref="G294:I294"/>
    <mergeCell ref="J295:K295"/>
    <mergeCell ref="G296:I296"/>
    <mergeCell ref="J297:K297"/>
    <mergeCell ref="E298:I298"/>
    <mergeCell ref="J298:K298"/>
    <mergeCell ref="J287:K287"/>
    <mergeCell ref="G288:I288"/>
    <mergeCell ref="J289:K289"/>
    <mergeCell ref="G290:I290"/>
    <mergeCell ref="J291:K291"/>
    <mergeCell ref="G292:I292"/>
    <mergeCell ref="E283:I283"/>
    <mergeCell ref="J283:K283"/>
    <mergeCell ref="E284:J284"/>
    <mergeCell ref="E285:I285"/>
    <mergeCell ref="J285:K285"/>
    <mergeCell ref="G286:I286"/>
    <mergeCell ref="E278:I278"/>
    <mergeCell ref="I279:K279"/>
    <mergeCell ref="G280:I280"/>
    <mergeCell ref="E281:K281"/>
    <mergeCell ref="E282:I282"/>
    <mergeCell ref="J282:K282"/>
    <mergeCell ref="E272:I272"/>
    <mergeCell ref="J273:K273"/>
    <mergeCell ref="E274:I274"/>
    <mergeCell ref="I275:K275"/>
    <mergeCell ref="E276:I276"/>
    <mergeCell ref="J277:K277"/>
    <mergeCell ref="E268:I268"/>
    <mergeCell ref="J268:K268"/>
    <mergeCell ref="E269:K269"/>
    <mergeCell ref="E270:I270"/>
    <mergeCell ref="J270:K270"/>
    <mergeCell ref="G271:I271"/>
    <mergeCell ref="E264:I264"/>
    <mergeCell ref="J264:K264"/>
    <mergeCell ref="E265:K265"/>
    <mergeCell ref="E266:I266"/>
    <mergeCell ref="J266:K266"/>
    <mergeCell ref="E267:K267"/>
    <mergeCell ref="I259:K259"/>
    <mergeCell ref="E260:I260"/>
    <mergeCell ref="J260:K260"/>
    <mergeCell ref="G261:I261"/>
    <mergeCell ref="E262:K262"/>
    <mergeCell ref="G263:I263"/>
    <mergeCell ref="E254:I254"/>
    <mergeCell ref="I255:K255"/>
    <mergeCell ref="E256:I256"/>
    <mergeCell ref="E258:I258"/>
    <mergeCell ref="I253:K253"/>
    <mergeCell ref="I257:K257"/>
    <mergeCell ref="E249:I249"/>
    <mergeCell ref="I250:K250"/>
    <mergeCell ref="G251:I251"/>
    <mergeCell ref="J251:K251"/>
    <mergeCell ref="E252:I252"/>
    <mergeCell ref="I248:K248"/>
    <mergeCell ref="G242:I242"/>
    <mergeCell ref="E243:I243"/>
    <mergeCell ref="E245:I245"/>
    <mergeCell ref="I246:K246"/>
    <mergeCell ref="E247:I247"/>
    <mergeCell ref="I244:K244"/>
    <mergeCell ref="I236:K236"/>
    <mergeCell ref="G237:I237"/>
    <mergeCell ref="E238:I238"/>
    <mergeCell ref="I239:K239"/>
    <mergeCell ref="E240:I240"/>
    <mergeCell ref="I241:K241"/>
    <mergeCell ref="E231:I231"/>
    <mergeCell ref="I232:K232"/>
    <mergeCell ref="E233:I233"/>
    <mergeCell ref="I234:K234"/>
    <mergeCell ref="E235:I235"/>
    <mergeCell ref="I230:K230"/>
    <mergeCell ref="E226:J226"/>
    <mergeCell ref="E227:I227"/>
    <mergeCell ref="J227:K227"/>
    <mergeCell ref="G228:I228"/>
    <mergeCell ref="J228:K228"/>
    <mergeCell ref="E229:I229"/>
    <mergeCell ref="E223:I223"/>
    <mergeCell ref="J223:K223"/>
    <mergeCell ref="E224:I224"/>
    <mergeCell ref="J224:K224"/>
    <mergeCell ref="E225:I225"/>
    <mergeCell ref="J225:K225"/>
    <mergeCell ref="E219:K219"/>
    <mergeCell ref="E220:I220"/>
    <mergeCell ref="J220:K220"/>
    <mergeCell ref="E221:I221"/>
    <mergeCell ref="J221:K221"/>
    <mergeCell ref="E222:I222"/>
    <mergeCell ref="J222:K222"/>
    <mergeCell ref="E215:I215"/>
    <mergeCell ref="J215:K215"/>
    <mergeCell ref="E216:I216"/>
    <mergeCell ref="J216:K216"/>
    <mergeCell ref="E217:K217"/>
    <mergeCell ref="E218:I218"/>
    <mergeCell ref="J218:K218"/>
    <mergeCell ref="E212:I212"/>
    <mergeCell ref="J212:K212"/>
    <mergeCell ref="E213:I213"/>
    <mergeCell ref="J213:K213"/>
    <mergeCell ref="E214:I214"/>
    <mergeCell ref="J214:K214"/>
    <mergeCell ref="E209:I209"/>
    <mergeCell ref="J209:K209"/>
    <mergeCell ref="E210:I210"/>
    <mergeCell ref="J210:K210"/>
    <mergeCell ref="E211:I211"/>
    <mergeCell ref="J211:K211"/>
    <mergeCell ref="E205:I205"/>
    <mergeCell ref="J205:K205"/>
    <mergeCell ref="E206:I206"/>
    <mergeCell ref="J206:K206"/>
    <mergeCell ref="E207:J207"/>
    <mergeCell ref="E208:I208"/>
    <mergeCell ref="J208:K208"/>
    <mergeCell ref="E202:K202"/>
    <mergeCell ref="E203:I203"/>
    <mergeCell ref="J203:K203"/>
    <mergeCell ref="E204:I204"/>
    <mergeCell ref="J204:K204"/>
    <mergeCell ref="E197:I197"/>
    <mergeCell ref="J197:K197"/>
    <mergeCell ref="E198:K198"/>
    <mergeCell ref="E199:I199"/>
    <mergeCell ref="J199:K199"/>
    <mergeCell ref="E200:K200"/>
    <mergeCell ref="E193:I193"/>
    <mergeCell ref="J193:K193"/>
    <mergeCell ref="E194:K194"/>
    <mergeCell ref="E195:I195"/>
    <mergeCell ref="J195:K195"/>
    <mergeCell ref="E196:K196"/>
    <mergeCell ref="E189:I189"/>
    <mergeCell ref="J189:K189"/>
    <mergeCell ref="G190:I190"/>
    <mergeCell ref="E191:I191"/>
    <mergeCell ref="J191:K191"/>
    <mergeCell ref="E192:K192"/>
    <mergeCell ref="E185:I185"/>
    <mergeCell ref="J185:K185"/>
    <mergeCell ref="E186:I186"/>
    <mergeCell ref="J186:K186"/>
    <mergeCell ref="E187:K187"/>
    <mergeCell ref="E188:I188"/>
    <mergeCell ref="J188:K188"/>
    <mergeCell ref="E182:I182"/>
    <mergeCell ref="J182:K182"/>
    <mergeCell ref="E183:K183"/>
    <mergeCell ref="E184:I184"/>
    <mergeCell ref="J184:K184"/>
    <mergeCell ref="E177:I177"/>
    <mergeCell ref="J177:K177"/>
    <mergeCell ref="E178:I178"/>
    <mergeCell ref="J178:K178"/>
    <mergeCell ref="E180:K180"/>
    <mergeCell ref="E173:K173"/>
    <mergeCell ref="G174:I174"/>
    <mergeCell ref="E175:I175"/>
    <mergeCell ref="J175:K175"/>
    <mergeCell ref="E176:I176"/>
    <mergeCell ref="J176:K176"/>
    <mergeCell ref="E168:K168"/>
    <mergeCell ref="E169:K169"/>
    <mergeCell ref="E170:I170"/>
    <mergeCell ref="E171:K171"/>
    <mergeCell ref="E172:I172"/>
    <mergeCell ref="J172:K172"/>
    <mergeCell ref="E162:K162"/>
    <mergeCell ref="G163:I163"/>
    <mergeCell ref="E164:K164"/>
    <mergeCell ref="G165:I165"/>
    <mergeCell ref="E166:I166"/>
    <mergeCell ref="E167:K167"/>
    <mergeCell ref="E157:K157"/>
    <mergeCell ref="E158:I158"/>
    <mergeCell ref="J158:K158"/>
    <mergeCell ref="E159:K159"/>
    <mergeCell ref="G160:I160"/>
    <mergeCell ref="E161:I161"/>
    <mergeCell ref="J161:K161"/>
    <mergeCell ref="E152:K152"/>
    <mergeCell ref="G153:I153"/>
    <mergeCell ref="E154:I154"/>
    <mergeCell ref="J154:K154"/>
    <mergeCell ref="I155:K155"/>
    <mergeCell ref="E156:I156"/>
    <mergeCell ref="J156:K156"/>
    <mergeCell ref="G148:I148"/>
    <mergeCell ref="E149:I149"/>
    <mergeCell ref="J149:K149"/>
    <mergeCell ref="E150:K150"/>
    <mergeCell ref="E151:I151"/>
    <mergeCell ref="J151:K151"/>
    <mergeCell ref="J143:K143"/>
    <mergeCell ref="E144:I144"/>
    <mergeCell ref="J144:K144"/>
    <mergeCell ref="I145:K145"/>
    <mergeCell ref="E146:I146"/>
    <mergeCell ref="I147:K147"/>
    <mergeCell ref="E139:I139"/>
    <mergeCell ref="J139:K139"/>
    <mergeCell ref="E141:K141"/>
    <mergeCell ref="E142:I142"/>
    <mergeCell ref="E140:K140"/>
    <mergeCell ref="E135:I135"/>
    <mergeCell ref="J135:K135"/>
    <mergeCell ref="E137:K137"/>
    <mergeCell ref="E138:I138"/>
    <mergeCell ref="J138:K138"/>
    <mergeCell ref="E136:K136"/>
    <mergeCell ref="E130:I130"/>
    <mergeCell ref="I131:K131"/>
    <mergeCell ref="E132:I132"/>
    <mergeCell ref="J132:K132"/>
    <mergeCell ref="E133:K133"/>
    <mergeCell ref="E134:I134"/>
    <mergeCell ref="J134:K134"/>
    <mergeCell ref="E125:I125"/>
    <mergeCell ref="J125:K125"/>
    <mergeCell ref="E127:K127"/>
    <mergeCell ref="E128:I128"/>
    <mergeCell ref="J128:K128"/>
    <mergeCell ref="E129:K129"/>
    <mergeCell ref="E120:I120"/>
    <mergeCell ref="E121:K121"/>
    <mergeCell ref="E122:I122"/>
    <mergeCell ref="J122:K122"/>
    <mergeCell ref="E123:K123"/>
    <mergeCell ref="E124:K124"/>
    <mergeCell ref="E115:I115"/>
    <mergeCell ref="J115:K115"/>
    <mergeCell ref="I117:K117"/>
    <mergeCell ref="E118:I118"/>
    <mergeCell ref="J118:K118"/>
    <mergeCell ref="E119:K119"/>
    <mergeCell ref="E111:I111"/>
    <mergeCell ref="J111:K111"/>
    <mergeCell ref="E112:I112"/>
    <mergeCell ref="J112:K112"/>
    <mergeCell ref="I113:K113"/>
    <mergeCell ref="E114:I114"/>
    <mergeCell ref="J114:K114"/>
    <mergeCell ref="E107:I107"/>
    <mergeCell ref="J107:K107"/>
    <mergeCell ref="I108:K108"/>
    <mergeCell ref="G109:I109"/>
    <mergeCell ref="E110:I110"/>
    <mergeCell ref="J110:K110"/>
    <mergeCell ref="E103:I103"/>
    <mergeCell ref="J103:K103"/>
    <mergeCell ref="I104:K104"/>
    <mergeCell ref="E105:I105"/>
    <mergeCell ref="J105:K105"/>
    <mergeCell ref="E106:I106"/>
    <mergeCell ref="J106:K106"/>
    <mergeCell ref="E98:I98"/>
    <mergeCell ref="E99:K99"/>
    <mergeCell ref="G100:I100"/>
    <mergeCell ref="E101:I101"/>
    <mergeCell ref="J101:K101"/>
    <mergeCell ref="E102:I102"/>
    <mergeCell ref="J102:K102"/>
    <mergeCell ref="E94:I94"/>
    <mergeCell ref="J94:K94"/>
    <mergeCell ref="E95:K95"/>
    <mergeCell ref="E96:I96"/>
    <mergeCell ref="J96:K96"/>
    <mergeCell ref="E97:K97"/>
    <mergeCell ref="E89:K89"/>
    <mergeCell ref="E90:I90"/>
    <mergeCell ref="E91:K91"/>
    <mergeCell ref="E92:I92"/>
    <mergeCell ref="J92:K92"/>
    <mergeCell ref="E93:K93"/>
    <mergeCell ref="E85:I85"/>
    <mergeCell ref="J85:K85"/>
    <mergeCell ref="E86:I86"/>
    <mergeCell ref="J86:K86"/>
    <mergeCell ref="I87:K87"/>
    <mergeCell ref="E88:I88"/>
    <mergeCell ref="E81:I81"/>
    <mergeCell ref="J81:K81"/>
    <mergeCell ref="E82:I82"/>
    <mergeCell ref="J82:K82"/>
    <mergeCell ref="E83:K83"/>
    <mergeCell ref="E84:I84"/>
    <mergeCell ref="J84:K84"/>
    <mergeCell ref="I76:K76"/>
    <mergeCell ref="E77:I77"/>
    <mergeCell ref="J77:K77"/>
    <mergeCell ref="E78:K78"/>
    <mergeCell ref="G79:I79"/>
    <mergeCell ref="E80:I80"/>
    <mergeCell ref="J80:K80"/>
    <mergeCell ref="E73:I73"/>
    <mergeCell ref="J73:K73"/>
    <mergeCell ref="E74:I74"/>
    <mergeCell ref="J74:K74"/>
    <mergeCell ref="E75:I75"/>
    <mergeCell ref="J75:K75"/>
    <mergeCell ref="E69:I69"/>
    <mergeCell ref="J69:K69"/>
    <mergeCell ref="I70:K70"/>
    <mergeCell ref="E71:I71"/>
    <mergeCell ref="J71:K71"/>
    <mergeCell ref="E72:K72"/>
    <mergeCell ref="E65:I65"/>
    <mergeCell ref="J65:K65"/>
    <mergeCell ref="E66:K66"/>
    <mergeCell ref="E67:I67"/>
    <mergeCell ref="J67:K67"/>
    <mergeCell ref="E68:I68"/>
    <mergeCell ref="J68:K68"/>
    <mergeCell ref="E61:K61"/>
    <mergeCell ref="G62:J62"/>
    <mergeCell ref="E63:I63"/>
    <mergeCell ref="J63:K63"/>
    <mergeCell ref="E64:I64"/>
    <mergeCell ref="J64:K64"/>
    <mergeCell ref="E57:K57"/>
    <mergeCell ref="E58:I58"/>
    <mergeCell ref="J58:K58"/>
    <mergeCell ref="I59:K59"/>
    <mergeCell ref="E60:I60"/>
    <mergeCell ref="J60:K60"/>
    <mergeCell ref="I53:K53"/>
    <mergeCell ref="E54:I54"/>
    <mergeCell ref="J54:K54"/>
    <mergeCell ref="E55:K55"/>
    <mergeCell ref="E56:I56"/>
    <mergeCell ref="J56:K56"/>
    <mergeCell ref="E49:K49"/>
    <mergeCell ref="E50:I50"/>
    <mergeCell ref="J50:K50"/>
    <mergeCell ref="E51:K51"/>
    <mergeCell ref="E52:I52"/>
    <mergeCell ref="J52:K52"/>
    <mergeCell ref="G45:J45"/>
    <mergeCell ref="E46:I46"/>
    <mergeCell ref="J46:K46"/>
    <mergeCell ref="E47:K47"/>
    <mergeCell ref="E48:I48"/>
    <mergeCell ref="J48:K48"/>
    <mergeCell ref="G40:I40"/>
    <mergeCell ref="J40:K40"/>
    <mergeCell ref="G42:I42"/>
    <mergeCell ref="E43:K43"/>
    <mergeCell ref="E44:I44"/>
    <mergeCell ref="J44:K44"/>
    <mergeCell ref="I41:K41"/>
    <mergeCell ref="I35:K35"/>
    <mergeCell ref="G36:I36"/>
    <mergeCell ref="I37:K37"/>
    <mergeCell ref="G38:I38"/>
    <mergeCell ref="E39:I39"/>
    <mergeCell ref="J39:K39"/>
    <mergeCell ref="G30:I30"/>
    <mergeCell ref="E31:K31"/>
    <mergeCell ref="G32:I32"/>
    <mergeCell ref="E33:I33"/>
    <mergeCell ref="J33:K33"/>
    <mergeCell ref="G34:I34"/>
    <mergeCell ref="J34:K34"/>
    <mergeCell ref="G26:I26"/>
    <mergeCell ref="E27:I27"/>
    <mergeCell ref="J27:K27"/>
    <mergeCell ref="G28:I28"/>
    <mergeCell ref="J28:K28"/>
    <mergeCell ref="I29:K29"/>
    <mergeCell ref="G20:K20"/>
    <mergeCell ref="G21:I21"/>
    <mergeCell ref="I22:K22"/>
    <mergeCell ref="G23:I23"/>
    <mergeCell ref="I24:K24"/>
    <mergeCell ref="E25:I25"/>
    <mergeCell ref="G17:I17"/>
    <mergeCell ref="J17:K17"/>
    <mergeCell ref="E18:I18"/>
    <mergeCell ref="J18:K18"/>
    <mergeCell ref="G19:I19"/>
    <mergeCell ref="J19:K19"/>
    <mergeCell ref="G13:I13"/>
    <mergeCell ref="J13:K13"/>
    <mergeCell ref="G14:K14"/>
    <mergeCell ref="G15:I15"/>
    <mergeCell ref="J15:K15"/>
    <mergeCell ref="G16:K16"/>
    <mergeCell ref="E11:J11"/>
    <mergeCell ref="E12:I12"/>
    <mergeCell ref="J12:K12"/>
    <mergeCell ref="Q4:Q5"/>
    <mergeCell ref="A5:L5"/>
    <mergeCell ref="A6:L6"/>
    <mergeCell ref="A7:D7"/>
    <mergeCell ref="E7:L7"/>
    <mergeCell ref="B8:E8"/>
    <mergeCell ref="F8:L8"/>
    <mergeCell ref="A1:O1"/>
    <mergeCell ref="A3:M3"/>
    <mergeCell ref="A4:L4"/>
    <mergeCell ref="M4:M5"/>
    <mergeCell ref="N4:N5"/>
    <mergeCell ref="O4:O5"/>
    <mergeCell ref="C9:F9"/>
    <mergeCell ref="G9:L9"/>
    <mergeCell ref="E10:H10"/>
    <mergeCell ref="I10:L10"/>
  </mergeCells>
  <phoneticPr fontId="2" type="noConversion"/>
  <pageMargins left="0.70866141732283472" right="0.70866141732283472" top="1.1417322834645669" bottom="1.1417322834645669" header="0.31496062992125984" footer="0.31496062992125984"/>
  <pageSetup paperSize="9" scale="58" fitToHeight="0" orientation="portrait" r:id="rId1"/>
  <colBreaks count="1" manualBreakCount="1">
    <brk id="16" max="78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42"/>
  <sheetViews>
    <sheetView showGridLines="0" tabSelected="1" zoomScaleNormal="100" workbookViewId="0">
      <pane ySplit="6" topLeftCell="A7" activePane="bottomLeft" state="frozen"/>
      <selection activeCell="D13" sqref="D13"/>
      <selection pane="bottomLeft" activeCell="I11" sqref="I11"/>
    </sheetView>
  </sheetViews>
  <sheetFormatPr defaultRowHeight="20.100000000000001" customHeight="1"/>
  <cols>
    <col min="1" max="8" width="1.625" style="98" customWidth="1"/>
    <col min="9" max="9" width="37.625" style="98" customWidth="1"/>
    <col min="10" max="10" width="23.625" style="98" customWidth="1"/>
    <col min="11" max="11" width="2.625" style="98" customWidth="1"/>
    <col min="12" max="12" width="10.625" style="98" customWidth="1"/>
    <col min="13" max="13" width="12.625" style="98" customWidth="1"/>
    <col min="14" max="14" width="12.625" style="119" customWidth="1"/>
    <col min="15" max="15" width="12.625" style="98" customWidth="1"/>
    <col min="16" max="16" width="37.25" style="98" customWidth="1"/>
    <col min="17" max="17" width="9" style="364"/>
    <col min="18" max="18" width="9.625" style="364" bestFit="1" customWidth="1"/>
    <col min="19" max="19" width="10.75" style="98" bestFit="1" customWidth="1"/>
    <col min="20" max="232" width="9" style="98"/>
    <col min="233" max="233" width="1.5" style="98" customWidth="1"/>
    <col min="234" max="234" width="0.75" style="98" customWidth="1"/>
    <col min="235" max="240" width="1" style="98" customWidth="1"/>
    <col min="241" max="241" width="0.5" style="98" customWidth="1"/>
    <col min="242" max="242" width="31.25" style="98" customWidth="1"/>
    <col min="243" max="243" width="33.5" style="98" customWidth="1"/>
    <col min="244" max="244" width="2.625" style="98" customWidth="1"/>
    <col min="245" max="245" width="10.375" style="98" customWidth="1"/>
    <col min="246" max="246" width="10.875" style="98" customWidth="1"/>
    <col min="247" max="247" width="14.25" style="98" customWidth="1"/>
    <col min="248" max="248" width="10.875" style="98" customWidth="1"/>
    <col min="249" max="255" width="0" style="98" hidden="1" customWidth="1"/>
    <col min="256" max="256" width="9" style="98"/>
    <col min="257" max="257" width="10.875" style="98" bestFit="1" customWidth="1"/>
    <col min="258" max="488" width="9" style="98"/>
    <col min="489" max="489" width="1.5" style="98" customWidth="1"/>
    <col min="490" max="490" width="0.75" style="98" customWidth="1"/>
    <col min="491" max="496" width="1" style="98" customWidth="1"/>
    <col min="497" max="497" width="0.5" style="98" customWidth="1"/>
    <col min="498" max="498" width="31.25" style="98" customWidth="1"/>
    <col min="499" max="499" width="33.5" style="98" customWidth="1"/>
    <col min="500" max="500" width="2.625" style="98" customWidth="1"/>
    <col min="501" max="501" width="10.375" style="98" customWidth="1"/>
    <col min="502" max="502" width="10.875" style="98" customWidth="1"/>
    <col min="503" max="503" width="14.25" style="98" customWidth="1"/>
    <col min="504" max="504" width="10.875" style="98" customWidth="1"/>
    <col min="505" max="511" width="0" style="98" hidden="1" customWidth="1"/>
    <col min="512" max="512" width="9" style="98"/>
    <col min="513" max="513" width="10.875" style="98" bestFit="1" customWidth="1"/>
    <col min="514" max="744" width="9" style="98"/>
    <col min="745" max="745" width="1.5" style="98" customWidth="1"/>
    <col min="746" max="746" width="0.75" style="98" customWidth="1"/>
    <col min="747" max="752" width="1" style="98" customWidth="1"/>
    <col min="753" max="753" width="0.5" style="98" customWidth="1"/>
    <col min="754" max="754" width="31.25" style="98" customWidth="1"/>
    <col min="755" max="755" width="33.5" style="98" customWidth="1"/>
    <col min="756" max="756" width="2.625" style="98" customWidth="1"/>
    <col min="757" max="757" width="10.375" style="98" customWidth="1"/>
    <col min="758" max="758" width="10.875" style="98" customWidth="1"/>
    <col min="759" max="759" width="14.25" style="98" customWidth="1"/>
    <col min="760" max="760" width="10.875" style="98" customWidth="1"/>
    <col min="761" max="767" width="0" style="98" hidden="1" customWidth="1"/>
    <col min="768" max="768" width="9" style="98"/>
    <col min="769" max="769" width="10.875" style="98" bestFit="1" customWidth="1"/>
    <col min="770" max="1000" width="9" style="98"/>
    <col min="1001" max="1001" width="1.5" style="98" customWidth="1"/>
    <col min="1002" max="1002" width="0.75" style="98" customWidth="1"/>
    <col min="1003" max="1008" width="1" style="98" customWidth="1"/>
    <col min="1009" max="1009" width="0.5" style="98" customWidth="1"/>
    <col min="1010" max="1010" width="31.25" style="98" customWidth="1"/>
    <col min="1011" max="1011" width="33.5" style="98" customWidth="1"/>
    <col min="1012" max="1012" width="2.625" style="98" customWidth="1"/>
    <col min="1013" max="1013" width="10.375" style="98" customWidth="1"/>
    <col min="1014" max="1014" width="10.875" style="98" customWidth="1"/>
    <col min="1015" max="1015" width="14.25" style="98" customWidth="1"/>
    <col min="1016" max="1016" width="10.875" style="98" customWidth="1"/>
    <col min="1017" max="1023" width="0" style="98" hidden="1" customWidth="1"/>
    <col min="1024" max="1024" width="9" style="98"/>
    <col min="1025" max="1025" width="10.875" style="98" bestFit="1" customWidth="1"/>
    <col min="1026" max="1256" width="9" style="98"/>
    <col min="1257" max="1257" width="1.5" style="98" customWidth="1"/>
    <col min="1258" max="1258" width="0.75" style="98" customWidth="1"/>
    <col min="1259" max="1264" width="1" style="98" customWidth="1"/>
    <col min="1265" max="1265" width="0.5" style="98" customWidth="1"/>
    <col min="1266" max="1266" width="31.25" style="98" customWidth="1"/>
    <col min="1267" max="1267" width="33.5" style="98" customWidth="1"/>
    <col min="1268" max="1268" width="2.625" style="98" customWidth="1"/>
    <col min="1269" max="1269" width="10.375" style="98" customWidth="1"/>
    <col min="1270" max="1270" width="10.875" style="98" customWidth="1"/>
    <col min="1271" max="1271" width="14.25" style="98" customWidth="1"/>
    <col min="1272" max="1272" width="10.875" style="98" customWidth="1"/>
    <col min="1273" max="1279" width="0" style="98" hidden="1" customWidth="1"/>
    <col min="1280" max="1280" width="9" style="98"/>
    <col min="1281" max="1281" width="10.875" style="98" bestFit="1" customWidth="1"/>
    <col min="1282" max="1512" width="9" style="98"/>
    <col min="1513" max="1513" width="1.5" style="98" customWidth="1"/>
    <col min="1514" max="1514" width="0.75" style="98" customWidth="1"/>
    <col min="1515" max="1520" width="1" style="98" customWidth="1"/>
    <col min="1521" max="1521" width="0.5" style="98" customWidth="1"/>
    <col min="1522" max="1522" width="31.25" style="98" customWidth="1"/>
    <col min="1523" max="1523" width="33.5" style="98" customWidth="1"/>
    <col min="1524" max="1524" width="2.625" style="98" customWidth="1"/>
    <col min="1525" max="1525" width="10.375" style="98" customWidth="1"/>
    <col min="1526" max="1526" width="10.875" style="98" customWidth="1"/>
    <col min="1527" max="1527" width="14.25" style="98" customWidth="1"/>
    <col min="1528" max="1528" width="10.875" style="98" customWidth="1"/>
    <col min="1529" max="1535" width="0" style="98" hidden="1" customWidth="1"/>
    <col min="1536" max="1536" width="9" style="98"/>
    <col min="1537" max="1537" width="10.875" style="98" bestFit="1" customWidth="1"/>
    <col min="1538" max="1768" width="9" style="98"/>
    <col min="1769" max="1769" width="1.5" style="98" customWidth="1"/>
    <col min="1770" max="1770" width="0.75" style="98" customWidth="1"/>
    <col min="1771" max="1776" width="1" style="98" customWidth="1"/>
    <col min="1777" max="1777" width="0.5" style="98" customWidth="1"/>
    <col min="1778" max="1778" width="31.25" style="98" customWidth="1"/>
    <col min="1779" max="1779" width="33.5" style="98" customWidth="1"/>
    <col min="1780" max="1780" width="2.625" style="98" customWidth="1"/>
    <col min="1781" max="1781" width="10.375" style="98" customWidth="1"/>
    <col min="1782" max="1782" width="10.875" style="98" customWidth="1"/>
    <col min="1783" max="1783" width="14.25" style="98" customWidth="1"/>
    <col min="1784" max="1784" width="10.875" style="98" customWidth="1"/>
    <col min="1785" max="1791" width="0" style="98" hidden="1" customWidth="1"/>
    <col min="1792" max="1792" width="9" style="98"/>
    <col min="1793" max="1793" width="10.875" style="98" bestFit="1" customWidth="1"/>
    <col min="1794" max="2024" width="9" style="98"/>
    <col min="2025" max="2025" width="1.5" style="98" customWidth="1"/>
    <col min="2026" max="2026" width="0.75" style="98" customWidth="1"/>
    <col min="2027" max="2032" width="1" style="98" customWidth="1"/>
    <col min="2033" max="2033" width="0.5" style="98" customWidth="1"/>
    <col min="2034" max="2034" width="31.25" style="98" customWidth="1"/>
    <col min="2035" max="2035" width="33.5" style="98" customWidth="1"/>
    <col min="2036" max="2036" width="2.625" style="98" customWidth="1"/>
    <col min="2037" max="2037" width="10.375" style="98" customWidth="1"/>
    <col min="2038" max="2038" width="10.875" style="98" customWidth="1"/>
    <col min="2039" max="2039" width="14.25" style="98" customWidth="1"/>
    <col min="2040" max="2040" width="10.875" style="98" customWidth="1"/>
    <col min="2041" max="2047" width="0" style="98" hidden="1" customWidth="1"/>
    <col min="2048" max="2048" width="9" style="98"/>
    <col min="2049" max="2049" width="10.875" style="98" bestFit="1" customWidth="1"/>
    <col min="2050" max="2280" width="9" style="98"/>
    <col min="2281" max="2281" width="1.5" style="98" customWidth="1"/>
    <col min="2282" max="2282" width="0.75" style="98" customWidth="1"/>
    <col min="2283" max="2288" width="1" style="98" customWidth="1"/>
    <col min="2289" max="2289" width="0.5" style="98" customWidth="1"/>
    <col min="2290" max="2290" width="31.25" style="98" customWidth="1"/>
    <col min="2291" max="2291" width="33.5" style="98" customWidth="1"/>
    <col min="2292" max="2292" width="2.625" style="98" customWidth="1"/>
    <col min="2293" max="2293" width="10.375" style="98" customWidth="1"/>
    <col min="2294" max="2294" width="10.875" style="98" customWidth="1"/>
    <col min="2295" max="2295" width="14.25" style="98" customWidth="1"/>
    <col min="2296" max="2296" width="10.875" style="98" customWidth="1"/>
    <col min="2297" max="2303" width="0" style="98" hidden="1" customWidth="1"/>
    <col min="2304" max="2304" width="9" style="98"/>
    <col min="2305" max="2305" width="10.875" style="98" bestFit="1" customWidth="1"/>
    <col min="2306" max="2536" width="9" style="98"/>
    <col min="2537" max="2537" width="1.5" style="98" customWidth="1"/>
    <col min="2538" max="2538" width="0.75" style="98" customWidth="1"/>
    <col min="2539" max="2544" width="1" style="98" customWidth="1"/>
    <col min="2545" max="2545" width="0.5" style="98" customWidth="1"/>
    <col min="2546" max="2546" width="31.25" style="98" customWidth="1"/>
    <col min="2547" max="2547" width="33.5" style="98" customWidth="1"/>
    <col min="2548" max="2548" width="2.625" style="98" customWidth="1"/>
    <col min="2549" max="2549" width="10.375" style="98" customWidth="1"/>
    <col min="2550" max="2550" width="10.875" style="98" customWidth="1"/>
    <col min="2551" max="2551" width="14.25" style="98" customWidth="1"/>
    <col min="2552" max="2552" width="10.875" style="98" customWidth="1"/>
    <col min="2553" max="2559" width="0" style="98" hidden="1" customWidth="1"/>
    <col min="2560" max="2560" width="9" style="98"/>
    <col min="2561" max="2561" width="10.875" style="98" bestFit="1" customWidth="1"/>
    <col min="2562" max="2792" width="9" style="98"/>
    <col min="2793" max="2793" width="1.5" style="98" customWidth="1"/>
    <col min="2794" max="2794" width="0.75" style="98" customWidth="1"/>
    <col min="2795" max="2800" width="1" style="98" customWidth="1"/>
    <col min="2801" max="2801" width="0.5" style="98" customWidth="1"/>
    <col min="2802" max="2802" width="31.25" style="98" customWidth="1"/>
    <col min="2803" max="2803" width="33.5" style="98" customWidth="1"/>
    <col min="2804" max="2804" width="2.625" style="98" customWidth="1"/>
    <col min="2805" max="2805" width="10.375" style="98" customWidth="1"/>
    <col min="2806" max="2806" width="10.875" style="98" customWidth="1"/>
    <col min="2807" max="2807" width="14.25" style="98" customWidth="1"/>
    <col min="2808" max="2808" width="10.875" style="98" customWidth="1"/>
    <col min="2809" max="2815" width="0" style="98" hidden="1" customWidth="1"/>
    <col min="2816" max="2816" width="9" style="98"/>
    <col min="2817" max="2817" width="10.875" style="98" bestFit="1" customWidth="1"/>
    <col min="2818" max="3048" width="9" style="98"/>
    <col min="3049" max="3049" width="1.5" style="98" customWidth="1"/>
    <col min="3050" max="3050" width="0.75" style="98" customWidth="1"/>
    <col min="3051" max="3056" width="1" style="98" customWidth="1"/>
    <col min="3057" max="3057" width="0.5" style="98" customWidth="1"/>
    <col min="3058" max="3058" width="31.25" style="98" customWidth="1"/>
    <col min="3059" max="3059" width="33.5" style="98" customWidth="1"/>
    <col min="3060" max="3060" width="2.625" style="98" customWidth="1"/>
    <col min="3061" max="3061" width="10.375" style="98" customWidth="1"/>
    <col min="3062" max="3062" width="10.875" style="98" customWidth="1"/>
    <col min="3063" max="3063" width="14.25" style="98" customWidth="1"/>
    <col min="3064" max="3064" width="10.875" style="98" customWidth="1"/>
    <col min="3065" max="3071" width="0" style="98" hidden="1" customWidth="1"/>
    <col min="3072" max="3072" width="9" style="98"/>
    <col min="3073" max="3073" width="10.875" style="98" bestFit="1" customWidth="1"/>
    <col min="3074" max="3304" width="9" style="98"/>
    <col min="3305" max="3305" width="1.5" style="98" customWidth="1"/>
    <col min="3306" max="3306" width="0.75" style="98" customWidth="1"/>
    <col min="3307" max="3312" width="1" style="98" customWidth="1"/>
    <col min="3313" max="3313" width="0.5" style="98" customWidth="1"/>
    <col min="3314" max="3314" width="31.25" style="98" customWidth="1"/>
    <col min="3315" max="3315" width="33.5" style="98" customWidth="1"/>
    <col min="3316" max="3316" width="2.625" style="98" customWidth="1"/>
    <col min="3317" max="3317" width="10.375" style="98" customWidth="1"/>
    <col min="3318" max="3318" width="10.875" style="98" customWidth="1"/>
    <col min="3319" max="3319" width="14.25" style="98" customWidth="1"/>
    <col min="3320" max="3320" width="10.875" style="98" customWidth="1"/>
    <col min="3321" max="3327" width="0" style="98" hidden="1" customWidth="1"/>
    <col min="3328" max="3328" width="9" style="98"/>
    <col min="3329" max="3329" width="10.875" style="98" bestFit="1" customWidth="1"/>
    <col min="3330" max="3560" width="9" style="98"/>
    <col min="3561" max="3561" width="1.5" style="98" customWidth="1"/>
    <col min="3562" max="3562" width="0.75" style="98" customWidth="1"/>
    <col min="3563" max="3568" width="1" style="98" customWidth="1"/>
    <col min="3569" max="3569" width="0.5" style="98" customWidth="1"/>
    <col min="3570" max="3570" width="31.25" style="98" customWidth="1"/>
    <col min="3571" max="3571" width="33.5" style="98" customWidth="1"/>
    <col min="3572" max="3572" width="2.625" style="98" customWidth="1"/>
    <col min="3573" max="3573" width="10.375" style="98" customWidth="1"/>
    <col min="3574" max="3574" width="10.875" style="98" customWidth="1"/>
    <col min="3575" max="3575" width="14.25" style="98" customWidth="1"/>
    <col min="3576" max="3576" width="10.875" style="98" customWidth="1"/>
    <col min="3577" max="3583" width="0" style="98" hidden="1" customWidth="1"/>
    <col min="3584" max="3584" width="9" style="98"/>
    <col min="3585" max="3585" width="10.875" style="98" bestFit="1" customWidth="1"/>
    <col min="3586" max="3816" width="9" style="98"/>
    <col min="3817" max="3817" width="1.5" style="98" customWidth="1"/>
    <col min="3818" max="3818" width="0.75" style="98" customWidth="1"/>
    <col min="3819" max="3824" width="1" style="98" customWidth="1"/>
    <col min="3825" max="3825" width="0.5" style="98" customWidth="1"/>
    <col min="3826" max="3826" width="31.25" style="98" customWidth="1"/>
    <col min="3827" max="3827" width="33.5" style="98" customWidth="1"/>
    <col min="3828" max="3828" width="2.625" style="98" customWidth="1"/>
    <col min="3829" max="3829" width="10.375" style="98" customWidth="1"/>
    <col min="3830" max="3830" width="10.875" style="98" customWidth="1"/>
    <col min="3831" max="3831" width="14.25" style="98" customWidth="1"/>
    <col min="3832" max="3832" width="10.875" style="98" customWidth="1"/>
    <col min="3833" max="3839" width="0" style="98" hidden="1" customWidth="1"/>
    <col min="3840" max="3840" width="9" style="98"/>
    <col min="3841" max="3841" width="10.875" style="98" bestFit="1" customWidth="1"/>
    <col min="3842" max="4072" width="9" style="98"/>
    <col min="4073" max="4073" width="1.5" style="98" customWidth="1"/>
    <col min="4074" max="4074" width="0.75" style="98" customWidth="1"/>
    <col min="4075" max="4080" width="1" style="98" customWidth="1"/>
    <col min="4081" max="4081" width="0.5" style="98" customWidth="1"/>
    <col min="4082" max="4082" width="31.25" style="98" customWidth="1"/>
    <col min="4083" max="4083" width="33.5" style="98" customWidth="1"/>
    <col min="4084" max="4084" width="2.625" style="98" customWidth="1"/>
    <col min="4085" max="4085" width="10.375" style="98" customWidth="1"/>
    <col min="4086" max="4086" width="10.875" style="98" customWidth="1"/>
    <col min="4087" max="4087" width="14.25" style="98" customWidth="1"/>
    <col min="4088" max="4088" width="10.875" style="98" customWidth="1"/>
    <col min="4089" max="4095" width="0" style="98" hidden="1" customWidth="1"/>
    <col min="4096" max="4096" width="9" style="98"/>
    <col min="4097" max="4097" width="10.875" style="98" bestFit="1" customWidth="1"/>
    <col min="4098" max="4328" width="9" style="98"/>
    <col min="4329" max="4329" width="1.5" style="98" customWidth="1"/>
    <col min="4330" max="4330" width="0.75" style="98" customWidth="1"/>
    <col min="4331" max="4336" width="1" style="98" customWidth="1"/>
    <col min="4337" max="4337" width="0.5" style="98" customWidth="1"/>
    <col min="4338" max="4338" width="31.25" style="98" customWidth="1"/>
    <col min="4339" max="4339" width="33.5" style="98" customWidth="1"/>
    <col min="4340" max="4340" width="2.625" style="98" customWidth="1"/>
    <col min="4341" max="4341" width="10.375" style="98" customWidth="1"/>
    <col min="4342" max="4342" width="10.875" style="98" customWidth="1"/>
    <col min="4343" max="4343" width="14.25" style="98" customWidth="1"/>
    <col min="4344" max="4344" width="10.875" style="98" customWidth="1"/>
    <col min="4345" max="4351" width="0" style="98" hidden="1" customWidth="1"/>
    <col min="4352" max="4352" width="9" style="98"/>
    <col min="4353" max="4353" width="10.875" style="98" bestFit="1" customWidth="1"/>
    <col min="4354" max="4584" width="9" style="98"/>
    <col min="4585" max="4585" width="1.5" style="98" customWidth="1"/>
    <col min="4586" max="4586" width="0.75" style="98" customWidth="1"/>
    <col min="4587" max="4592" width="1" style="98" customWidth="1"/>
    <col min="4593" max="4593" width="0.5" style="98" customWidth="1"/>
    <col min="4594" max="4594" width="31.25" style="98" customWidth="1"/>
    <col min="4595" max="4595" width="33.5" style="98" customWidth="1"/>
    <col min="4596" max="4596" width="2.625" style="98" customWidth="1"/>
    <col min="4597" max="4597" width="10.375" style="98" customWidth="1"/>
    <col min="4598" max="4598" width="10.875" style="98" customWidth="1"/>
    <col min="4599" max="4599" width="14.25" style="98" customWidth="1"/>
    <col min="4600" max="4600" width="10.875" style="98" customWidth="1"/>
    <col min="4601" max="4607" width="0" style="98" hidden="1" customWidth="1"/>
    <col min="4608" max="4608" width="9" style="98"/>
    <col min="4609" max="4609" width="10.875" style="98" bestFit="1" customWidth="1"/>
    <col min="4610" max="4840" width="9" style="98"/>
    <col min="4841" max="4841" width="1.5" style="98" customWidth="1"/>
    <col min="4842" max="4842" width="0.75" style="98" customWidth="1"/>
    <col min="4843" max="4848" width="1" style="98" customWidth="1"/>
    <col min="4849" max="4849" width="0.5" style="98" customWidth="1"/>
    <col min="4850" max="4850" width="31.25" style="98" customWidth="1"/>
    <col min="4851" max="4851" width="33.5" style="98" customWidth="1"/>
    <col min="4852" max="4852" width="2.625" style="98" customWidth="1"/>
    <col min="4853" max="4853" width="10.375" style="98" customWidth="1"/>
    <col min="4854" max="4854" width="10.875" style="98" customWidth="1"/>
    <col min="4855" max="4855" width="14.25" style="98" customWidth="1"/>
    <col min="4856" max="4856" width="10.875" style="98" customWidth="1"/>
    <col min="4857" max="4863" width="0" style="98" hidden="1" customWidth="1"/>
    <col min="4864" max="4864" width="9" style="98"/>
    <col min="4865" max="4865" width="10.875" style="98" bestFit="1" customWidth="1"/>
    <col min="4866" max="5096" width="9" style="98"/>
    <col min="5097" max="5097" width="1.5" style="98" customWidth="1"/>
    <col min="5098" max="5098" width="0.75" style="98" customWidth="1"/>
    <col min="5099" max="5104" width="1" style="98" customWidth="1"/>
    <col min="5105" max="5105" width="0.5" style="98" customWidth="1"/>
    <col min="5106" max="5106" width="31.25" style="98" customWidth="1"/>
    <col min="5107" max="5107" width="33.5" style="98" customWidth="1"/>
    <col min="5108" max="5108" width="2.625" style="98" customWidth="1"/>
    <col min="5109" max="5109" width="10.375" style="98" customWidth="1"/>
    <col min="5110" max="5110" width="10.875" style="98" customWidth="1"/>
    <col min="5111" max="5111" width="14.25" style="98" customWidth="1"/>
    <col min="5112" max="5112" width="10.875" style="98" customWidth="1"/>
    <col min="5113" max="5119" width="0" style="98" hidden="1" customWidth="1"/>
    <col min="5120" max="5120" width="9" style="98"/>
    <col min="5121" max="5121" width="10.875" style="98" bestFit="1" customWidth="1"/>
    <col min="5122" max="5352" width="9" style="98"/>
    <col min="5353" max="5353" width="1.5" style="98" customWidth="1"/>
    <col min="5354" max="5354" width="0.75" style="98" customWidth="1"/>
    <col min="5355" max="5360" width="1" style="98" customWidth="1"/>
    <col min="5361" max="5361" width="0.5" style="98" customWidth="1"/>
    <col min="5362" max="5362" width="31.25" style="98" customWidth="1"/>
    <col min="5363" max="5363" width="33.5" style="98" customWidth="1"/>
    <col min="5364" max="5364" width="2.625" style="98" customWidth="1"/>
    <col min="5365" max="5365" width="10.375" style="98" customWidth="1"/>
    <col min="5366" max="5366" width="10.875" style="98" customWidth="1"/>
    <col min="5367" max="5367" width="14.25" style="98" customWidth="1"/>
    <col min="5368" max="5368" width="10.875" style="98" customWidth="1"/>
    <col min="5369" max="5375" width="0" style="98" hidden="1" customWidth="1"/>
    <col min="5376" max="5376" width="9" style="98"/>
    <col min="5377" max="5377" width="10.875" style="98" bestFit="1" customWidth="1"/>
    <col min="5378" max="5608" width="9" style="98"/>
    <col min="5609" max="5609" width="1.5" style="98" customWidth="1"/>
    <col min="5610" max="5610" width="0.75" style="98" customWidth="1"/>
    <col min="5611" max="5616" width="1" style="98" customWidth="1"/>
    <col min="5617" max="5617" width="0.5" style="98" customWidth="1"/>
    <col min="5618" max="5618" width="31.25" style="98" customWidth="1"/>
    <col min="5619" max="5619" width="33.5" style="98" customWidth="1"/>
    <col min="5620" max="5620" width="2.625" style="98" customWidth="1"/>
    <col min="5621" max="5621" width="10.375" style="98" customWidth="1"/>
    <col min="5622" max="5622" width="10.875" style="98" customWidth="1"/>
    <col min="5623" max="5623" width="14.25" style="98" customWidth="1"/>
    <col min="5624" max="5624" width="10.875" style="98" customWidth="1"/>
    <col min="5625" max="5631" width="0" style="98" hidden="1" customWidth="1"/>
    <col min="5632" max="5632" width="9" style="98"/>
    <col min="5633" max="5633" width="10.875" style="98" bestFit="1" customWidth="1"/>
    <col min="5634" max="5864" width="9" style="98"/>
    <col min="5865" max="5865" width="1.5" style="98" customWidth="1"/>
    <col min="5866" max="5866" width="0.75" style="98" customWidth="1"/>
    <col min="5867" max="5872" width="1" style="98" customWidth="1"/>
    <col min="5873" max="5873" width="0.5" style="98" customWidth="1"/>
    <col min="5874" max="5874" width="31.25" style="98" customWidth="1"/>
    <col min="5875" max="5875" width="33.5" style="98" customWidth="1"/>
    <col min="5876" max="5876" width="2.625" style="98" customWidth="1"/>
    <col min="5877" max="5877" width="10.375" style="98" customWidth="1"/>
    <col min="5878" max="5878" width="10.875" style="98" customWidth="1"/>
    <col min="5879" max="5879" width="14.25" style="98" customWidth="1"/>
    <col min="5880" max="5880" width="10.875" style="98" customWidth="1"/>
    <col min="5881" max="5887" width="0" style="98" hidden="1" customWidth="1"/>
    <col min="5888" max="5888" width="9" style="98"/>
    <col min="5889" max="5889" width="10.875" style="98" bestFit="1" customWidth="1"/>
    <col min="5890" max="6120" width="9" style="98"/>
    <col min="6121" max="6121" width="1.5" style="98" customWidth="1"/>
    <col min="6122" max="6122" width="0.75" style="98" customWidth="1"/>
    <col min="6123" max="6128" width="1" style="98" customWidth="1"/>
    <col min="6129" max="6129" width="0.5" style="98" customWidth="1"/>
    <col min="6130" max="6130" width="31.25" style="98" customWidth="1"/>
    <col min="6131" max="6131" width="33.5" style="98" customWidth="1"/>
    <col min="6132" max="6132" width="2.625" style="98" customWidth="1"/>
    <col min="6133" max="6133" width="10.375" style="98" customWidth="1"/>
    <col min="6134" max="6134" width="10.875" style="98" customWidth="1"/>
    <col min="6135" max="6135" width="14.25" style="98" customWidth="1"/>
    <col min="6136" max="6136" width="10.875" style="98" customWidth="1"/>
    <col min="6137" max="6143" width="0" style="98" hidden="1" customWidth="1"/>
    <col min="6144" max="6144" width="9" style="98"/>
    <col min="6145" max="6145" width="10.875" style="98" bestFit="1" customWidth="1"/>
    <col min="6146" max="6376" width="9" style="98"/>
    <col min="6377" max="6377" width="1.5" style="98" customWidth="1"/>
    <col min="6378" max="6378" width="0.75" style="98" customWidth="1"/>
    <col min="6379" max="6384" width="1" style="98" customWidth="1"/>
    <col min="6385" max="6385" width="0.5" style="98" customWidth="1"/>
    <col min="6386" max="6386" width="31.25" style="98" customWidth="1"/>
    <col min="6387" max="6387" width="33.5" style="98" customWidth="1"/>
    <col min="6388" max="6388" width="2.625" style="98" customWidth="1"/>
    <col min="6389" max="6389" width="10.375" style="98" customWidth="1"/>
    <col min="6390" max="6390" width="10.875" style="98" customWidth="1"/>
    <col min="6391" max="6391" width="14.25" style="98" customWidth="1"/>
    <col min="6392" max="6392" width="10.875" style="98" customWidth="1"/>
    <col min="6393" max="6399" width="0" style="98" hidden="1" customWidth="1"/>
    <col min="6400" max="6400" width="9" style="98"/>
    <col min="6401" max="6401" width="10.875" style="98" bestFit="1" customWidth="1"/>
    <col min="6402" max="6632" width="9" style="98"/>
    <col min="6633" max="6633" width="1.5" style="98" customWidth="1"/>
    <col min="6634" max="6634" width="0.75" style="98" customWidth="1"/>
    <col min="6635" max="6640" width="1" style="98" customWidth="1"/>
    <col min="6641" max="6641" width="0.5" style="98" customWidth="1"/>
    <col min="6642" max="6642" width="31.25" style="98" customWidth="1"/>
    <col min="6643" max="6643" width="33.5" style="98" customWidth="1"/>
    <col min="6644" max="6644" width="2.625" style="98" customWidth="1"/>
    <col min="6645" max="6645" width="10.375" style="98" customWidth="1"/>
    <col min="6646" max="6646" width="10.875" style="98" customWidth="1"/>
    <col min="6647" max="6647" width="14.25" style="98" customWidth="1"/>
    <col min="6648" max="6648" width="10.875" style="98" customWidth="1"/>
    <col min="6649" max="6655" width="0" style="98" hidden="1" customWidth="1"/>
    <col min="6656" max="6656" width="9" style="98"/>
    <col min="6657" max="6657" width="10.875" style="98" bestFit="1" customWidth="1"/>
    <col min="6658" max="6888" width="9" style="98"/>
    <col min="6889" max="6889" width="1.5" style="98" customWidth="1"/>
    <col min="6890" max="6890" width="0.75" style="98" customWidth="1"/>
    <col min="6891" max="6896" width="1" style="98" customWidth="1"/>
    <col min="6897" max="6897" width="0.5" style="98" customWidth="1"/>
    <col min="6898" max="6898" width="31.25" style="98" customWidth="1"/>
    <col min="6899" max="6899" width="33.5" style="98" customWidth="1"/>
    <col min="6900" max="6900" width="2.625" style="98" customWidth="1"/>
    <col min="6901" max="6901" width="10.375" style="98" customWidth="1"/>
    <col min="6902" max="6902" width="10.875" style="98" customWidth="1"/>
    <col min="6903" max="6903" width="14.25" style="98" customWidth="1"/>
    <col min="6904" max="6904" width="10.875" style="98" customWidth="1"/>
    <col min="6905" max="6911" width="0" style="98" hidden="1" customWidth="1"/>
    <col min="6912" max="6912" width="9" style="98"/>
    <col min="6913" max="6913" width="10.875" style="98" bestFit="1" customWidth="1"/>
    <col min="6914" max="7144" width="9" style="98"/>
    <col min="7145" max="7145" width="1.5" style="98" customWidth="1"/>
    <col min="7146" max="7146" width="0.75" style="98" customWidth="1"/>
    <col min="7147" max="7152" width="1" style="98" customWidth="1"/>
    <col min="7153" max="7153" width="0.5" style="98" customWidth="1"/>
    <col min="7154" max="7154" width="31.25" style="98" customWidth="1"/>
    <col min="7155" max="7155" width="33.5" style="98" customWidth="1"/>
    <col min="7156" max="7156" width="2.625" style="98" customWidth="1"/>
    <col min="7157" max="7157" width="10.375" style="98" customWidth="1"/>
    <col min="7158" max="7158" width="10.875" style="98" customWidth="1"/>
    <col min="7159" max="7159" width="14.25" style="98" customWidth="1"/>
    <col min="7160" max="7160" width="10.875" style="98" customWidth="1"/>
    <col min="7161" max="7167" width="0" style="98" hidden="1" customWidth="1"/>
    <col min="7168" max="7168" width="9" style="98"/>
    <col min="7169" max="7169" width="10.875" style="98" bestFit="1" customWidth="1"/>
    <col min="7170" max="7400" width="9" style="98"/>
    <col min="7401" max="7401" width="1.5" style="98" customWidth="1"/>
    <col min="7402" max="7402" width="0.75" style="98" customWidth="1"/>
    <col min="7403" max="7408" width="1" style="98" customWidth="1"/>
    <col min="7409" max="7409" width="0.5" style="98" customWidth="1"/>
    <col min="7410" max="7410" width="31.25" style="98" customWidth="1"/>
    <col min="7411" max="7411" width="33.5" style="98" customWidth="1"/>
    <col min="7412" max="7412" width="2.625" style="98" customWidth="1"/>
    <col min="7413" max="7413" width="10.375" style="98" customWidth="1"/>
    <col min="7414" max="7414" width="10.875" style="98" customWidth="1"/>
    <col min="7415" max="7415" width="14.25" style="98" customWidth="1"/>
    <col min="7416" max="7416" width="10.875" style="98" customWidth="1"/>
    <col min="7417" max="7423" width="0" style="98" hidden="1" customWidth="1"/>
    <col min="7424" max="7424" width="9" style="98"/>
    <col min="7425" max="7425" width="10.875" style="98" bestFit="1" customWidth="1"/>
    <col min="7426" max="7656" width="9" style="98"/>
    <col min="7657" max="7657" width="1.5" style="98" customWidth="1"/>
    <col min="7658" max="7658" width="0.75" style="98" customWidth="1"/>
    <col min="7659" max="7664" width="1" style="98" customWidth="1"/>
    <col min="7665" max="7665" width="0.5" style="98" customWidth="1"/>
    <col min="7666" max="7666" width="31.25" style="98" customWidth="1"/>
    <col min="7667" max="7667" width="33.5" style="98" customWidth="1"/>
    <col min="7668" max="7668" width="2.625" style="98" customWidth="1"/>
    <col min="7669" max="7669" width="10.375" style="98" customWidth="1"/>
    <col min="7670" max="7670" width="10.875" style="98" customWidth="1"/>
    <col min="7671" max="7671" width="14.25" style="98" customWidth="1"/>
    <col min="7672" max="7672" width="10.875" style="98" customWidth="1"/>
    <col min="7673" max="7679" width="0" style="98" hidden="1" customWidth="1"/>
    <col min="7680" max="7680" width="9" style="98"/>
    <col min="7681" max="7681" width="10.875" style="98" bestFit="1" customWidth="1"/>
    <col min="7682" max="7912" width="9" style="98"/>
    <col min="7913" max="7913" width="1.5" style="98" customWidth="1"/>
    <col min="7914" max="7914" width="0.75" style="98" customWidth="1"/>
    <col min="7915" max="7920" width="1" style="98" customWidth="1"/>
    <col min="7921" max="7921" width="0.5" style="98" customWidth="1"/>
    <col min="7922" max="7922" width="31.25" style="98" customWidth="1"/>
    <col min="7923" max="7923" width="33.5" style="98" customWidth="1"/>
    <col min="7924" max="7924" width="2.625" style="98" customWidth="1"/>
    <col min="7925" max="7925" width="10.375" style="98" customWidth="1"/>
    <col min="7926" max="7926" width="10.875" style="98" customWidth="1"/>
    <col min="7927" max="7927" width="14.25" style="98" customWidth="1"/>
    <col min="7928" max="7928" width="10.875" style="98" customWidth="1"/>
    <col min="7929" max="7935" width="0" style="98" hidden="1" customWidth="1"/>
    <col min="7936" max="7936" width="9" style="98"/>
    <col min="7937" max="7937" width="10.875" style="98" bestFit="1" customWidth="1"/>
    <col min="7938" max="8168" width="9" style="98"/>
    <col min="8169" max="8169" width="1.5" style="98" customWidth="1"/>
    <col min="8170" max="8170" width="0.75" style="98" customWidth="1"/>
    <col min="8171" max="8176" width="1" style="98" customWidth="1"/>
    <col min="8177" max="8177" width="0.5" style="98" customWidth="1"/>
    <col min="8178" max="8178" width="31.25" style="98" customWidth="1"/>
    <col min="8179" max="8179" width="33.5" style="98" customWidth="1"/>
    <col min="8180" max="8180" width="2.625" style="98" customWidth="1"/>
    <col min="8181" max="8181" width="10.375" style="98" customWidth="1"/>
    <col min="8182" max="8182" width="10.875" style="98" customWidth="1"/>
    <col min="8183" max="8183" width="14.25" style="98" customWidth="1"/>
    <col min="8184" max="8184" width="10.875" style="98" customWidth="1"/>
    <col min="8185" max="8191" width="0" style="98" hidden="1" customWidth="1"/>
    <col min="8192" max="8192" width="9" style="98"/>
    <col min="8193" max="8193" width="10.875" style="98" bestFit="1" customWidth="1"/>
    <col min="8194" max="8424" width="9" style="98"/>
    <col min="8425" max="8425" width="1.5" style="98" customWidth="1"/>
    <col min="8426" max="8426" width="0.75" style="98" customWidth="1"/>
    <col min="8427" max="8432" width="1" style="98" customWidth="1"/>
    <col min="8433" max="8433" width="0.5" style="98" customWidth="1"/>
    <col min="8434" max="8434" width="31.25" style="98" customWidth="1"/>
    <col min="8435" max="8435" width="33.5" style="98" customWidth="1"/>
    <col min="8436" max="8436" width="2.625" style="98" customWidth="1"/>
    <col min="8437" max="8437" width="10.375" style="98" customWidth="1"/>
    <col min="8438" max="8438" width="10.875" style="98" customWidth="1"/>
    <col min="8439" max="8439" width="14.25" style="98" customWidth="1"/>
    <col min="8440" max="8440" width="10.875" style="98" customWidth="1"/>
    <col min="8441" max="8447" width="0" style="98" hidden="1" customWidth="1"/>
    <col min="8448" max="8448" width="9" style="98"/>
    <col min="8449" max="8449" width="10.875" style="98" bestFit="1" customWidth="1"/>
    <col min="8450" max="8680" width="9" style="98"/>
    <col min="8681" max="8681" width="1.5" style="98" customWidth="1"/>
    <col min="8682" max="8682" width="0.75" style="98" customWidth="1"/>
    <col min="8683" max="8688" width="1" style="98" customWidth="1"/>
    <col min="8689" max="8689" width="0.5" style="98" customWidth="1"/>
    <col min="8690" max="8690" width="31.25" style="98" customWidth="1"/>
    <col min="8691" max="8691" width="33.5" style="98" customWidth="1"/>
    <col min="8692" max="8692" width="2.625" style="98" customWidth="1"/>
    <col min="8693" max="8693" width="10.375" style="98" customWidth="1"/>
    <col min="8694" max="8694" width="10.875" style="98" customWidth="1"/>
    <col min="8695" max="8695" width="14.25" style="98" customWidth="1"/>
    <col min="8696" max="8696" width="10.875" style="98" customWidth="1"/>
    <col min="8697" max="8703" width="0" style="98" hidden="1" customWidth="1"/>
    <col min="8704" max="8704" width="9" style="98"/>
    <col min="8705" max="8705" width="10.875" style="98" bestFit="1" customWidth="1"/>
    <col min="8706" max="8936" width="9" style="98"/>
    <col min="8937" max="8937" width="1.5" style="98" customWidth="1"/>
    <col min="8938" max="8938" width="0.75" style="98" customWidth="1"/>
    <col min="8939" max="8944" width="1" style="98" customWidth="1"/>
    <col min="8945" max="8945" width="0.5" style="98" customWidth="1"/>
    <col min="8946" max="8946" width="31.25" style="98" customWidth="1"/>
    <col min="8947" max="8947" width="33.5" style="98" customWidth="1"/>
    <col min="8948" max="8948" width="2.625" style="98" customWidth="1"/>
    <col min="8949" max="8949" width="10.375" style="98" customWidth="1"/>
    <col min="8950" max="8950" width="10.875" style="98" customWidth="1"/>
    <col min="8951" max="8951" width="14.25" style="98" customWidth="1"/>
    <col min="8952" max="8952" width="10.875" style="98" customWidth="1"/>
    <col min="8953" max="8959" width="0" style="98" hidden="1" customWidth="1"/>
    <col min="8960" max="8960" width="9" style="98"/>
    <col min="8961" max="8961" width="10.875" style="98" bestFit="1" customWidth="1"/>
    <col min="8962" max="9192" width="9" style="98"/>
    <col min="9193" max="9193" width="1.5" style="98" customWidth="1"/>
    <col min="9194" max="9194" width="0.75" style="98" customWidth="1"/>
    <col min="9195" max="9200" width="1" style="98" customWidth="1"/>
    <col min="9201" max="9201" width="0.5" style="98" customWidth="1"/>
    <col min="9202" max="9202" width="31.25" style="98" customWidth="1"/>
    <col min="9203" max="9203" width="33.5" style="98" customWidth="1"/>
    <col min="9204" max="9204" width="2.625" style="98" customWidth="1"/>
    <col min="9205" max="9205" width="10.375" style="98" customWidth="1"/>
    <col min="9206" max="9206" width="10.875" style="98" customWidth="1"/>
    <col min="9207" max="9207" width="14.25" style="98" customWidth="1"/>
    <col min="9208" max="9208" width="10.875" style="98" customWidth="1"/>
    <col min="9209" max="9215" width="0" style="98" hidden="1" customWidth="1"/>
    <col min="9216" max="9216" width="9" style="98"/>
    <col min="9217" max="9217" width="10.875" style="98" bestFit="1" customWidth="1"/>
    <col min="9218" max="9448" width="9" style="98"/>
    <col min="9449" max="9449" width="1.5" style="98" customWidth="1"/>
    <col min="9450" max="9450" width="0.75" style="98" customWidth="1"/>
    <col min="9451" max="9456" width="1" style="98" customWidth="1"/>
    <col min="9457" max="9457" width="0.5" style="98" customWidth="1"/>
    <col min="9458" max="9458" width="31.25" style="98" customWidth="1"/>
    <col min="9459" max="9459" width="33.5" style="98" customWidth="1"/>
    <col min="9460" max="9460" width="2.625" style="98" customWidth="1"/>
    <col min="9461" max="9461" width="10.375" style="98" customWidth="1"/>
    <col min="9462" max="9462" width="10.875" style="98" customWidth="1"/>
    <col min="9463" max="9463" width="14.25" style="98" customWidth="1"/>
    <col min="9464" max="9464" width="10.875" style="98" customWidth="1"/>
    <col min="9465" max="9471" width="0" style="98" hidden="1" customWidth="1"/>
    <col min="9472" max="9472" width="9" style="98"/>
    <col min="9473" max="9473" width="10.875" style="98" bestFit="1" customWidth="1"/>
    <col min="9474" max="9704" width="9" style="98"/>
    <col min="9705" max="9705" width="1.5" style="98" customWidth="1"/>
    <col min="9706" max="9706" width="0.75" style="98" customWidth="1"/>
    <col min="9707" max="9712" width="1" style="98" customWidth="1"/>
    <col min="9713" max="9713" width="0.5" style="98" customWidth="1"/>
    <col min="9714" max="9714" width="31.25" style="98" customWidth="1"/>
    <col min="9715" max="9715" width="33.5" style="98" customWidth="1"/>
    <col min="9716" max="9716" width="2.625" style="98" customWidth="1"/>
    <col min="9717" max="9717" width="10.375" style="98" customWidth="1"/>
    <col min="9718" max="9718" width="10.875" style="98" customWidth="1"/>
    <col min="9719" max="9719" width="14.25" style="98" customWidth="1"/>
    <col min="9720" max="9720" width="10.875" style="98" customWidth="1"/>
    <col min="9721" max="9727" width="0" style="98" hidden="1" customWidth="1"/>
    <col min="9728" max="9728" width="9" style="98"/>
    <col min="9729" max="9729" width="10.875" style="98" bestFit="1" customWidth="1"/>
    <col min="9730" max="9960" width="9" style="98"/>
    <col min="9961" max="9961" width="1.5" style="98" customWidth="1"/>
    <col min="9962" max="9962" width="0.75" style="98" customWidth="1"/>
    <col min="9963" max="9968" width="1" style="98" customWidth="1"/>
    <col min="9969" max="9969" width="0.5" style="98" customWidth="1"/>
    <col min="9970" max="9970" width="31.25" style="98" customWidth="1"/>
    <col min="9971" max="9971" width="33.5" style="98" customWidth="1"/>
    <col min="9972" max="9972" width="2.625" style="98" customWidth="1"/>
    <col min="9973" max="9973" width="10.375" style="98" customWidth="1"/>
    <col min="9974" max="9974" width="10.875" style="98" customWidth="1"/>
    <col min="9975" max="9975" width="14.25" style="98" customWidth="1"/>
    <col min="9976" max="9976" width="10.875" style="98" customWidth="1"/>
    <col min="9977" max="9983" width="0" style="98" hidden="1" customWidth="1"/>
    <col min="9984" max="9984" width="9" style="98"/>
    <col min="9985" max="9985" width="10.875" style="98" bestFit="1" customWidth="1"/>
    <col min="9986" max="10216" width="9" style="98"/>
    <col min="10217" max="10217" width="1.5" style="98" customWidth="1"/>
    <col min="10218" max="10218" width="0.75" style="98" customWidth="1"/>
    <col min="10219" max="10224" width="1" style="98" customWidth="1"/>
    <col min="10225" max="10225" width="0.5" style="98" customWidth="1"/>
    <col min="10226" max="10226" width="31.25" style="98" customWidth="1"/>
    <col min="10227" max="10227" width="33.5" style="98" customWidth="1"/>
    <col min="10228" max="10228" width="2.625" style="98" customWidth="1"/>
    <col min="10229" max="10229" width="10.375" style="98" customWidth="1"/>
    <col min="10230" max="10230" width="10.875" style="98" customWidth="1"/>
    <col min="10231" max="10231" width="14.25" style="98" customWidth="1"/>
    <col min="10232" max="10232" width="10.875" style="98" customWidth="1"/>
    <col min="10233" max="10239" width="0" style="98" hidden="1" customWidth="1"/>
    <col min="10240" max="10240" width="9" style="98"/>
    <col min="10241" max="10241" width="10.875" style="98" bestFit="1" customWidth="1"/>
    <col min="10242" max="10472" width="9" style="98"/>
    <col min="10473" max="10473" width="1.5" style="98" customWidth="1"/>
    <col min="10474" max="10474" width="0.75" style="98" customWidth="1"/>
    <col min="10475" max="10480" width="1" style="98" customWidth="1"/>
    <col min="10481" max="10481" width="0.5" style="98" customWidth="1"/>
    <col min="10482" max="10482" width="31.25" style="98" customWidth="1"/>
    <col min="10483" max="10483" width="33.5" style="98" customWidth="1"/>
    <col min="10484" max="10484" width="2.625" style="98" customWidth="1"/>
    <col min="10485" max="10485" width="10.375" style="98" customWidth="1"/>
    <col min="10486" max="10486" width="10.875" style="98" customWidth="1"/>
    <col min="10487" max="10487" width="14.25" style="98" customWidth="1"/>
    <col min="10488" max="10488" width="10.875" style="98" customWidth="1"/>
    <col min="10489" max="10495" width="0" style="98" hidden="1" customWidth="1"/>
    <col min="10496" max="10496" width="9" style="98"/>
    <col min="10497" max="10497" width="10.875" style="98" bestFit="1" customWidth="1"/>
    <col min="10498" max="10728" width="9" style="98"/>
    <col min="10729" max="10729" width="1.5" style="98" customWidth="1"/>
    <col min="10730" max="10730" width="0.75" style="98" customWidth="1"/>
    <col min="10731" max="10736" width="1" style="98" customWidth="1"/>
    <col min="10737" max="10737" width="0.5" style="98" customWidth="1"/>
    <col min="10738" max="10738" width="31.25" style="98" customWidth="1"/>
    <col min="10739" max="10739" width="33.5" style="98" customWidth="1"/>
    <col min="10740" max="10740" width="2.625" style="98" customWidth="1"/>
    <col min="10741" max="10741" width="10.375" style="98" customWidth="1"/>
    <col min="10742" max="10742" width="10.875" style="98" customWidth="1"/>
    <col min="10743" max="10743" width="14.25" style="98" customWidth="1"/>
    <col min="10744" max="10744" width="10.875" style="98" customWidth="1"/>
    <col min="10745" max="10751" width="0" style="98" hidden="1" customWidth="1"/>
    <col min="10752" max="10752" width="9" style="98"/>
    <col min="10753" max="10753" width="10.875" style="98" bestFit="1" customWidth="1"/>
    <col min="10754" max="10984" width="9" style="98"/>
    <col min="10985" max="10985" width="1.5" style="98" customWidth="1"/>
    <col min="10986" max="10986" width="0.75" style="98" customWidth="1"/>
    <col min="10987" max="10992" width="1" style="98" customWidth="1"/>
    <col min="10993" max="10993" width="0.5" style="98" customWidth="1"/>
    <col min="10994" max="10994" width="31.25" style="98" customWidth="1"/>
    <col min="10995" max="10995" width="33.5" style="98" customWidth="1"/>
    <col min="10996" max="10996" width="2.625" style="98" customWidth="1"/>
    <col min="10997" max="10997" width="10.375" style="98" customWidth="1"/>
    <col min="10998" max="10998" width="10.875" style="98" customWidth="1"/>
    <col min="10999" max="10999" width="14.25" style="98" customWidth="1"/>
    <col min="11000" max="11000" width="10.875" style="98" customWidth="1"/>
    <col min="11001" max="11007" width="0" style="98" hidden="1" customWidth="1"/>
    <col min="11008" max="11008" width="9" style="98"/>
    <col min="11009" max="11009" width="10.875" style="98" bestFit="1" customWidth="1"/>
    <col min="11010" max="11240" width="9" style="98"/>
    <col min="11241" max="11241" width="1.5" style="98" customWidth="1"/>
    <col min="11242" max="11242" width="0.75" style="98" customWidth="1"/>
    <col min="11243" max="11248" width="1" style="98" customWidth="1"/>
    <col min="11249" max="11249" width="0.5" style="98" customWidth="1"/>
    <col min="11250" max="11250" width="31.25" style="98" customWidth="1"/>
    <col min="11251" max="11251" width="33.5" style="98" customWidth="1"/>
    <col min="11252" max="11252" width="2.625" style="98" customWidth="1"/>
    <col min="11253" max="11253" width="10.375" style="98" customWidth="1"/>
    <col min="11254" max="11254" width="10.875" style="98" customWidth="1"/>
    <col min="11255" max="11255" width="14.25" style="98" customWidth="1"/>
    <col min="11256" max="11256" width="10.875" style="98" customWidth="1"/>
    <col min="11257" max="11263" width="0" style="98" hidden="1" customWidth="1"/>
    <col min="11264" max="11264" width="9" style="98"/>
    <col min="11265" max="11265" width="10.875" style="98" bestFit="1" customWidth="1"/>
    <col min="11266" max="11496" width="9" style="98"/>
    <col min="11497" max="11497" width="1.5" style="98" customWidth="1"/>
    <col min="11498" max="11498" width="0.75" style="98" customWidth="1"/>
    <col min="11499" max="11504" width="1" style="98" customWidth="1"/>
    <col min="11505" max="11505" width="0.5" style="98" customWidth="1"/>
    <col min="11506" max="11506" width="31.25" style="98" customWidth="1"/>
    <col min="11507" max="11507" width="33.5" style="98" customWidth="1"/>
    <col min="11508" max="11508" width="2.625" style="98" customWidth="1"/>
    <col min="11509" max="11509" width="10.375" style="98" customWidth="1"/>
    <col min="11510" max="11510" width="10.875" style="98" customWidth="1"/>
    <col min="11511" max="11511" width="14.25" style="98" customWidth="1"/>
    <col min="11512" max="11512" width="10.875" style="98" customWidth="1"/>
    <col min="11513" max="11519" width="0" style="98" hidden="1" customWidth="1"/>
    <col min="11520" max="11520" width="9" style="98"/>
    <col min="11521" max="11521" width="10.875" style="98" bestFit="1" customWidth="1"/>
    <col min="11522" max="11752" width="9" style="98"/>
    <col min="11753" max="11753" width="1.5" style="98" customWidth="1"/>
    <col min="11754" max="11754" width="0.75" style="98" customWidth="1"/>
    <col min="11755" max="11760" width="1" style="98" customWidth="1"/>
    <col min="11761" max="11761" width="0.5" style="98" customWidth="1"/>
    <col min="11762" max="11762" width="31.25" style="98" customWidth="1"/>
    <col min="11763" max="11763" width="33.5" style="98" customWidth="1"/>
    <col min="11764" max="11764" width="2.625" style="98" customWidth="1"/>
    <col min="11765" max="11765" width="10.375" style="98" customWidth="1"/>
    <col min="11766" max="11766" width="10.875" style="98" customWidth="1"/>
    <col min="11767" max="11767" width="14.25" style="98" customWidth="1"/>
    <col min="11768" max="11768" width="10.875" style="98" customWidth="1"/>
    <col min="11769" max="11775" width="0" style="98" hidden="1" customWidth="1"/>
    <col min="11776" max="11776" width="9" style="98"/>
    <col min="11777" max="11777" width="10.875" style="98" bestFit="1" customWidth="1"/>
    <col min="11778" max="12008" width="9" style="98"/>
    <col min="12009" max="12009" width="1.5" style="98" customWidth="1"/>
    <col min="12010" max="12010" width="0.75" style="98" customWidth="1"/>
    <col min="12011" max="12016" width="1" style="98" customWidth="1"/>
    <col min="12017" max="12017" width="0.5" style="98" customWidth="1"/>
    <col min="12018" max="12018" width="31.25" style="98" customWidth="1"/>
    <col min="12019" max="12019" width="33.5" style="98" customWidth="1"/>
    <col min="12020" max="12020" width="2.625" style="98" customWidth="1"/>
    <col min="12021" max="12021" width="10.375" style="98" customWidth="1"/>
    <col min="12022" max="12022" width="10.875" style="98" customWidth="1"/>
    <col min="12023" max="12023" width="14.25" style="98" customWidth="1"/>
    <col min="12024" max="12024" width="10.875" style="98" customWidth="1"/>
    <col min="12025" max="12031" width="0" style="98" hidden="1" customWidth="1"/>
    <col min="12032" max="12032" width="9" style="98"/>
    <col min="12033" max="12033" width="10.875" style="98" bestFit="1" customWidth="1"/>
    <col min="12034" max="12264" width="9" style="98"/>
    <col min="12265" max="12265" width="1.5" style="98" customWidth="1"/>
    <col min="12266" max="12266" width="0.75" style="98" customWidth="1"/>
    <col min="12267" max="12272" width="1" style="98" customWidth="1"/>
    <col min="12273" max="12273" width="0.5" style="98" customWidth="1"/>
    <col min="12274" max="12274" width="31.25" style="98" customWidth="1"/>
    <col min="12275" max="12275" width="33.5" style="98" customWidth="1"/>
    <col min="12276" max="12276" width="2.625" style="98" customWidth="1"/>
    <col min="12277" max="12277" width="10.375" style="98" customWidth="1"/>
    <col min="12278" max="12278" width="10.875" style="98" customWidth="1"/>
    <col min="12279" max="12279" width="14.25" style="98" customWidth="1"/>
    <col min="12280" max="12280" width="10.875" style="98" customWidth="1"/>
    <col min="12281" max="12287" width="0" style="98" hidden="1" customWidth="1"/>
    <col min="12288" max="12288" width="9" style="98"/>
    <col min="12289" max="12289" width="10.875" style="98" bestFit="1" customWidth="1"/>
    <col min="12290" max="12520" width="9" style="98"/>
    <col min="12521" max="12521" width="1.5" style="98" customWidth="1"/>
    <col min="12522" max="12522" width="0.75" style="98" customWidth="1"/>
    <col min="12523" max="12528" width="1" style="98" customWidth="1"/>
    <col min="12529" max="12529" width="0.5" style="98" customWidth="1"/>
    <col min="12530" max="12530" width="31.25" style="98" customWidth="1"/>
    <col min="12531" max="12531" width="33.5" style="98" customWidth="1"/>
    <col min="12532" max="12532" width="2.625" style="98" customWidth="1"/>
    <col min="12533" max="12533" width="10.375" style="98" customWidth="1"/>
    <col min="12534" max="12534" width="10.875" style="98" customWidth="1"/>
    <col min="12535" max="12535" width="14.25" style="98" customWidth="1"/>
    <col min="12536" max="12536" width="10.875" style="98" customWidth="1"/>
    <col min="12537" max="12543" width="0" style="98" hidden="1" customWidth="1"/>
    <col min="12544" max="12544" width="9" style="98"/>
    <col min="12545" max="12545" width="10.875" style="98" bestFit="1" customWidth="1"/>
    <col min="12546" max="12776" width="9" style="98"/>
    <col min="12777" max="12777" width="1.5" style="98" customWidth="1"/>
    <col min="12778" max="12778" width="0.75" style="98" customWidth="1"/>
    <col min="12779" max="12784" width="1" style="98" customWidth="1"/>
    <col min="12785" max="12785" width="0.5" style="98" customWidth="1"/>
    <col min="12786" max="12786" width="31.25" style="98" customWidth="1"/>
    <col min="12787" max="12787" width="33.5" style="98" customWidth="1"/>
    <col min="12788" max="12788" width="2.625" style="98" customWidth="1"/>
    <col min="12789" max="12789" width="10.375" style="98" customWidth="1"/>
    <col min="12790" max="12790" width="10.875" style="98" customWidth="1"/>
    <col min="12791" max="12791" width="14.25" style="98" customWidth="1"/>
    <col min="12792" max="12792" width="10.875" style="98" customWidth="1"/>
    <col min="12793" max="12799" width="0" style="98" hidden="1" customWidth="1"/>
    <col min="12800" max="12800" width="9" style="98"/>
    <col min="12801" max="12801" width="10.875" style="98" bestFit="1" customWidth="1"/>
    <col min="12802" max="13032" width="9" style="98"/>
    <col min="13033" max="13033" width="1.5" style="98" customWidth="1"/>
    <col min="13034" max="13034" width="0.75" style="98" customWidth="1"/>
    <col min="13035" max="13040" width="1" style="98" customWidth="1"/>
    <col min="13041" max="13041" width="0.5" style="98" customWidth="1"/>
    <col min="13042" max="13042" width="31.25" style="98" customWidth="1"/>
    <col min="13043" max="13043" width="33.5" style="98" customWidth="1"/>
    <col min="13044" max="13044" width="2.625" style="98" customWidth="1"/>
    <col min="13045" max="13045" width="10.375" style="98" customWidth="1"/>
    <col min="13046" max="13046" width="10.875" style="98" customWidth="1"/>
    <col min="13047" max="13047" width="14.25" style="98" customWidth="1"/>
    <col min="13048" max="13048" width="10.875" style="98" customWidth="1"/>
    <col min="13049" max="13055" width="0" style="98" hidden="1" customWidth="1"/>
    <col min="13056" max="13056" width="9" style="98"/>
    <col min="13057" max="13057" width="10.875" style="98" bestFit="1" customWidth="1"/>
    <col min="13058" max="13288" width="9" style="98"/>
    <col min="13289" max="13289" width="1.5" style="98" customWidth="1"/>
    <col min="13290" max="13290" width="0.75" style="98" customWidth="1"/>
    <col min="13291" max="13296" width="1" style="98" customWidth="1"/>
    <col min="13297" max="13297" width="0.5" style="98" customWidth="1"/>
    <col min="13298" max="13298" width="31.25" style="98" customWidth="1"/>
    <col min="13299" max="13299" width="33.5" style="98" customWidth="1"/>
    <col min="13300" max="13300" width="2.625" style="98" customWidth="1"/>
    <col min="13301" max="13301" width="10.375" style="98" customWidth="1"/>
    <col min="13302" max="13302" width="10.875" style="98" customWidth="1"/>
    <col min="13303" max="13303" width="14.25" style="98" customWidth="1"/>
    <col min="13304" max="13304" width="10.875" style="98" customWidth="1"/>
    <col min="13305" max="13311" width="0" style="98" hidden="1" customWidth="1"/>
    <col min="13312" max="13312" width="9" style="98"/>
    <col min="13313" max="13313" width="10.875" style="98" bestFit="1" customWidth="1"/>
    <col min="13314" max="13544" width="9" style="98"/>
    <col min="13545" max="13545" width="1.5" style="98" customWidth="1"/>
    <col min="13546" max="13546" width="0.75" style="98" customWidth="1"/>
    <col min="13547" max="13552" width="1" style="98" customWidth="1"/>
    <col min="13553" max="13553" width="0.5" style="98" customWidth="1"/>
    <col min="13554" max="13554" width="31.25" style="98" customWidth="1"/>
    <col min="13555" max="13555" width="33.5" style="98" customWidth="1"/>
    <col min="13556" max="13556" width="2.625" style="98" customWidth="1"/>
    <col min="13557" max="13557" width="10.375" style="98" customWidth="1"/>
    <col min="13558" max="13558" width="10.875" style="98" customWidth="1"/>
    <col min="13559" max="13559" width="14.25" style="98" customWidth="1"/>
    <col min="13560" max="13560" width="10.875" style="98" customWidth="1"/>
    <col min="13561" max="13567" width="0" style="98" hidden="1" customWidth="1"/>
    <col min="13568" max="13568" width="9" style="98"/>
    <col min="13569" max="13569" width="10.875" style="98" bestFit="1" customWidth="1"/>
    <col min="13570" max="13800" width="9" style="98"/>
    <col min="13801" max="13801" width="1.5" style="98" customWidth="1"/>
    <col min="13802" max="13802" width="0.75" style="98" customWidth="1"/>
    <col min="13803" max="13808" width="1" style="98" customWidth="1"/>
    <col min="13809" max="13809" width="0.5" style="98" customWidth="1"/>
    <col min="13810" max="13810" width="31.25" style="98" customWidth="1"/>
    <col min="13811" max="13811" width="33.5" style="98" customWidth="1"/>
    <col min="13812" max="13812" width="2.625" style="98" customWidth="1"/>
    <col min="13813" max="13813" width="10.375" style="98" customWidth="1"/>
    <col min="13814" max="13814" width="10.875" style="98" customWidth="1"/>
    <col min="13815" max="13815" width="14.25" style="98" customWidth="1"/>
    <col min="13816" max="13816" width="10.875" style="98" customWidth="1"/>
    <col min="13817" max="13823" width="0" style="98" hidden="1" customWidth="1"/>
    <col min="13824" max="13824" width="9" style="98"/>
    <col min="13825" max="13825" width="10.875" style="98" bestFit="1" customWidth="1"/>
    <col min="13826" max="14056" width="9" style="98"/>
    <col min="14057" max="14057" width="1.5" style="98" customWidth="1"/>
    <col min="14058" max="14058" width="0.75" style="98" customWidth="1"/>
    <col min="14059" max="14064" width="1" style="98" customWidth="1"/>
    <col min="14065" max="14065" width="0.5" style="98" customWidth="1"/>
    <col min="14066" max="14066" width="31.25" style="98" customWidth="1"/>
    <col min="14067" max="14067" width="33.5" style="98" customWidth="1"/>
    <col min="14068" max="14068" width="2.625" style="98" customWidth="1"/>
    <col min="14069" max="14069" width="10.375" style="98" customWidth="1"/>
    <col min="14070" max="14070" width="10.875" style="98" customWidth="1"/>
    <col min="14071" max="14071" width="14.25" style="98" customWidth="1"/>
    <col min="14072" max="14072" width="10.875" style="98" customWidth="1"/>
    <col min="14073" max="14079" width="0" style="98" hidden="1" customWidth="1"/>
    <col min="14080" max="14080" width="9" style="98"/>
    <col min="14081" max="14081" width="10.875" style="98" bestFit="1" customWidth="1"/>
    <col min="14082" max="14312" width="9" style="98"/>
    <col min="14313" max="14313" width="1.5" style="98" customWidth="1"/>
    <col min="14314" max="14314" width="0.75" style="98" customWidth="1"/>
    <col min="14315" max="14320" width="1" style="98" customWidth="1"/>
    <col min="14321" max="14321" width="0.5" style="98" customWidth="1"/>
    <col min="14322" max="14322" width="31.25" style="98" customWidth="1"/>
    <col min="14323" max="14323" width="33.5" style="98" customWidth="1"/>
    <col min="14324" max="14324" width="2.625" style="98" customWidth="1"/>
    <col min="14325" max="14325" width="10.375" style="98" customWidth="1"/>
    <col min="14326" max="14326" width="10.875" style="98" customWidth="1"/>
    <col min="14327" max="14327" width="14.25" style="98" customWidth="1"/>
    <col min="14328" max="14328" width="10.875" style="98" customWidth="1"/>
    <col min="14329" max="14335" width="0" style="98" hidden="1" customWidth="1"/>
    <col min="14336" max="14336" width="9" style="98"/>
    <col min="14337" max="14337" width="10.875" style="98" bestFit="1" customWidth="1"/>
    <col min="14338" max="14568" width="9" style="98"/>
    <col min="14569" max="14569" width="1.5" style="98" customWidth="1"/>
    <col min="14570" max="14570" width="0.75" style="98" customWidth="1"/>
    <col min="14571" max="14576" width="1" style="98" customWidth="1"/>
    <col min="14577" max="14577" width="0.5" style="98" customWidth="1"/>
    <col min="14578" max="14578" width="31.25" style="98" customWidth="1"/>
    <col min="14579" max="14579" width="33.5" style="98" customWidth="1"/>
    <col min="14580" max="14580" width="2.625" style="98" customWidth="1"/>
    <col min="14581" max="14581" width="10.375" style="98" customWidth="1"/>
    <col min="14582" max="14582" width="10.875" style="98" customWidth="1"/>
    <col min="14583" max="14583" width="14.25" style="98" customWidth="1"/>
    <col min="14584" max="14584" width="10.875" style="98" customWidth="1"/>
    <col min="14585" max="14591" width="0" style="98" hidden="1" customWidth="1"/>
    <col min="14592" max="14592" width="9" style="98"/>
    <col min="14593" max="14593" width="10.875" style="98" bestFit="1" customWidth="1"/>
    <col min="14594" max="14824" width="9" style="98"/>
    <col min="14825" max="14825" width="1.5" style="98" customWidth="1"/>
    <col min="14826" max="14826" width="0.75" style="98" customWidth="1"/>
    <col min="14827" max="14832" width="1" style="98" customWidth="1"/>
    <col min="14833" max="14833" width="0.5" style="98" customWidth="1"/>
    <col min="14834" max="14834" width="31.25" style="98" customWidth="1"/>
    <col min="14835" max="14835" width="33.5" style="98" customWidth="1"/>
    <col min="14836" max="14836" width="2.625" style="98" customWidth="1"/>
    <col min="14837" max="14837" width="10.375" style="98" customWidth="1"/>
    <col min="14838" max="14838" width="10.875" style="98" customWidth="1"/>
    <col min="14839" max="14839" width="14.25" style="98" customWidth="1"/>
    <col min="14840" max="14840" width="10.875" style="98" customWidth="1"/>
    <col min="14841" max="14847" width="0" style="98" hidden="1" customWidth="1"/>
    <col min="14848" max="14848" width="9" style="98"/>
    <col min="14849" max="14849" width="10.875" style="98" bestFit="1" customWidth="1"/>
    <col min="14850" max="15080" width="9" style="98"/>
    <col min="15081" max="15081" width="1.5" style="98" customWidth="1"/>
    <col min="15082" max="15082" width="0.75" style="98" customWidth="1"/>
    <col min="15083" max="15088" width="1" style="98" customWidth="1"/>
    <col min="15089" max="15089" width="0.5" style="98" customWidth="1"/>
    <col min="15090" max="15090" width="31.25" style="98" customWidth="1"/>
    <col min="15091" max="15091" width="33.5" style="98" customWidth="1"/>
    <col min="15092" max="15092" width="2.625" style="98" customWidth="1"/>
    <col min="15093" max="15093" width="10.375" style="98" customWidth="1"/>
    <col min="15094" max="15094" width="10.875" style="98" customWidth="1"/>
    <col min="15095" max="15095" width="14.25" style="98" customWidth="1"/>
    <col min="15096" max="15096" width="10.875" style="98" customWidth="1"/>
    <col min="15097" max="15103" width="0" style="98" hidden="1" customWidth="1"/>
    <col min="15104" max="15104" width="9" style="98"/>
    <col min="15105" max="15105" width="10.875" style="98" bestFit="1" customWidth="1"/>
    <col min="15106" max="15336" width="9" style="98"/>
    <col min="15337" max="15337" width="1.5" style="98" customWidth="1"/>
    <col min="15338" max="15338" width="0.75" style="98" customWidth="1"/>
    <col min="15339" max="15344" width="1" style="98" customWidth="1"/>
    <col min="15345" max="15345" width="0.5" style="98" customWidth="1"/>
    <col min="15346" max="15346" width="31.25" style="98" customWidth="1"/>
    <col min="15347" max="15347" width="33.5" style="98" customWidth="1"/>
    <col min="15348" max="15348" width="2.625" style="98" customWidth="1"/>
    <col min="15349" max="15349" width="10.375" style="98" customWidth="1"/>
    <col min="15350" max="15350" width="10.875" style="98" customWidth="1"/>
    <col min="15351" max="15351" width="14.25" style="98" customWidth="1"/>
    <col min="15352" max="15352" width="10.875" style="98" customWidth="1"/>
    <col min="15353" max="15359" width="0" style="98" hidden="1" customWidth="1"/>
    <col min="15360" max="15360" width="9" style="98"/>
    <col min="15361" max="15361" width="10.875" style="98" bestFit="1" customWidth="1"/>
    <col min="15362" max="15592" width="9" style="98"/>
    <col min="15593" max="15593" width="1.5" style="98" customWidth="1"/>
    <col min="15594" max="15594" width="0.75" style="98" customWidth="1"/>
    <col min="15595" max="15600" width="1" style="98" customWidth="1"/>
    <col min="15601" max="15601" width="0.5" style="98" customWidth="1"/>
    <col min="15602" max="15602" width="31.25" style="98" customWidth="1"/>
    <col min="15603" max="15603" width="33.5" style="98" customWidth="1"/>
    <col min="15604" max="15604" width="2.625" style="98" customWidth="1"/>
    <col min="15605" max="15605" width="10.375" style="98" customWidth="1"/>
    <col min="15606" max="15606" width="10.875" style="98" customWidth="1"/>
    <col min="15607" max="15607" width="14.25" style="98" customWidth="1"/>
    <col min="15608" max="15608" width="10.875" style="98" customWidth="1"/>
    <col min="15609" max="15615" width="0" style="98" hidden="1" customWidth="1"/>
    <col min="15616" max="15616" width="9" style="98"/>
    <col min="15617" max="15617" width="10.875" style="98" bestFit="1" customWidth="1"/>
    <col min="15618" max="15848" width="9" style="98"/>
    <col min="15849" max="15849" width="1.5" style="98" customWidth="1"/>
    <col min="15850" max="15850" width="0.75" style="98" customWidth="1"/>
    <col min="15851" max="15856" width="1" style="98" customWidth="1"/>
    <col min="15857" max="15857" width="0.5" style="98" customWidth="1"/>
    <col min="15858" max="15858" width="31.25" style="98" customWidth="1"/>
    <col min="15859" max="15859" width="33.5" style="98" customWidth="1"/>
    <col min="15860" max="15860" width="2.625" style="98" customWidth="1"/>
    <col min="15861" max="15861" width="10.375" style="98" customWidth="1"/>
    <col min="15862" max="15862" width="10.875" style="98" customWidth="1"/>
    <col min="15863" max="15863" width="14.25" style="98" customWidth="1"/>
    <col min="15864" max="15864" width="10.875" style="98" customWidth="1"/>
    <col min="15865" max="15871" width="0" style="98" hidden="1" customWidth="1"/>
    <col min="15872" max="15872" width="9" style="98"/>
    <col min="15873" max="15873" width="10.875" style="98" bestFit="1" customWidth="1"/>
    <col min="15874" max="16104" width="9" style="98"/>
    <col min="16105" max="16105" width="1.5" style="98" customWidth="1"/>
    <col min="16106" max="16106" width="0.75" style="98" customWidth="1"/>
    <col min="16107" max="16112" width="1" style="98" customWidth="1"/>
    <col min="16113" max="16113" width="0.5" style="98" customWidth="1"/>
    <col min="16114" max="16114" width="31.25" style="98" customWidth="1"/>
    <col min="16115" max="16115" width="33.5" style="98" customWidth="1"/>
    <col min="16116" max="16116" width="2.625" style="98" customWidth="1"/>
    <col min="16117" max="16117" width="10.375" style="98" customWidth="1"/>
    <col min="16118" max="16118" width="10.875" style="98" customWidth="1"/>
    <col min="16119" max="16119" width="14.25" style="98" customWidth="1"/>
    <col min="16120" max="16120" width="10.875" style="98" customWidth="1"/>
    <col min="16121" max="16127" width="0" style="98" hidden="1" customWidth="1"/>
    <col min="16128" max="16128" width="9" style="98"/>
    <col min="16129" max="16129" width="10.875" style="98" bestFit="1" customWidth="1"/>
    <col min="16130" max="16384" width="9" style="98"/>
  </cols>
  <sheetData>
    <row r="1" spans="1:19" ht="20.100000000000001" customHeight="1">
      <c r="A1" s="530" t="s">
        <v>1157</v>
      </c>
      <c r="B1" s="530"/>
      <c r="C1" s="530"/>
      <c r="D1" s="530"/>
      <c r="E1" s="530"/>
      <c r="F1" s="530"/>
      <c r="G1" s="530"/>
      <c r="H1" s="530"/>
      <c r="I1" s="530"/>
      <c r="J1" s="530"/>
      <c r="K1" s="530"/>
      <c r="L1" s="530"/>
      <c r="M1" s="530"/>
      <c r="N1" s="530"/>
      <c r="O1" s="530"/>
      <c r="P1" s="215"/>
    </row>
    <row r="2" spans="1:19" s="82" customFormat="1" ht="5.0999999999999996" customHeight="1">
      <c r="A2" s="258"/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7"/>
      <c r="O2" s="257"/>
      <c r="P2" s="259"/>
      <c r="Q2" s="180"/>
      <c r="R2" s="180"/>
    </row>
    <row r="3" spans="1:19" s="267" customFormat="1" ht="20.100000000000001" customHeight="1">
      <c r="A3" s="499" t="s">
        <v>1154</v>
      </c>
      <c r="B3" s="499"/>
      <c r="C3" s="499"/>
      <c r="D3" s="499"/>
      <c r="E3" s="499"/>
      <c r="F3" s="499"/>
      <c r="G3" s="499"/>
      <c r="H3" s="499"/>
      <c r="I3" s="499"/>
      <c r="J3" s="499"/>
      <c r="K3" s="499"/>
      <c r="L3" s="499"/>
      <c r="M3" s="499"/>
      <c r="N3" s="500" t="s">
        <v>1991</v>
      </c>
      <c r="O3" s="500"/>
      <c r="P3" s="266"/>
      <c r="Q3" s="365"/>
      <c r="R3" s="365"/>
    </row>
    <row r="4" spans="1:19" ht="20.100000000000001" customHeight="1">
      <c r="A4" s="399" t="s">
        <v>843</v>
      </c>
      <c r="B4" s="400"/>
      <c r="C4" s="400"/>
      <c r="D4" s="400"/>
      <c r="E4" s="400"/>
      <c r="F4" s="400"/>
      <c r="G4" s="400"/>
      <c r="H4" s="400"/>
      <c r="I4" s="400"/>
      <c r="J4" s="400"/>
      <c r="K4" s="400"/>
      <c r="L4" s="401"/>
      <c r="M4" s="398" t="s">
        <v>2006</v>
      </c>
      <c r="N4" s="398" t="s">
        <v>2007</v>
      </c>
      <c r="O4" s="398" t="s">
        <v>4</v>
      </c>
      <c r="P4" s="398" t="s">
        <v>1194</v>
      </c>
    </row>
    <row r="5" spans="1:19" ht="20.100000000000001" customHeight="1">
      <c r="A5" s="394" t="s">
        <v>844</v>
      </c>
      <c r="B5" s="395"/>
      <c r="C5" s="395"/>
      <c r="D5" s="395"/>
      <c r="E5" s="395"/>
      <c r="F5" s="395"/>
      <c r="G5" s="395"/>
      <c r="H5" s="395"/>
      <c r="I5" s="395"/>
      <c r="J5" s="395"/>
      <c r="K5" s="395"/>
      <c r="L5" s="396"/>
      <c r="M5" s="396"/>
      <c r="N5" s="396"/>
      <c r="O5" s="396"/>
      <c r="P5" s="396"/>
    </row>
    <row r="6" spans="1:19" ht="20.100000000000001" customHeight="1">
      <c r="A6" s="399" t="s">
        <v>823</v>
      </c>
      <c r="B6" s="400"/>
      <c r="C6" s="400"/>
      <c r="D6" s="400"/>
      <c r="E6" s="400"/>
      <c r="F6" s="400"/>
      <c r="G6" s="400"/>
      <c r="H6" s="400"/>
      <c r="I6" s="400"/>
      <c r="J6" s="400"/>
      <c r="K6" s="400"/>
      <c r="L6" s="401"/>
      <c r="M6" s="83">
        <f>+M7</f>
        <v>90972</v>
      </c>
      <c r="N6" s="83">
        <f>+N7</f>
        <v>0</v>
      </c>
      <c r="O6" s="83">
        <f>+O7</f>
        <v>90972</v>
      </c>
      <c r="P6" s="83"/>
    </row>
    <row r="7" spans="1:19" ht="24.95" customHeight="1">
      <c r="A7" s="101"/>
      <c r="B7" s="103" t="s">
        <v>8</v>
      </c>
      <c r="C7" s="475" t="s">
        <v>888</v>
      </c>
      <c r="D7" s="475"/>
      <c r="E7" s="475"/>
      <c r="F7" s="475"/>
      <c r="G7" s="475" t="s">
        <v>889</v>
      </c>
      <c r="H7" s="475"/>
      <c r="I7" s="475"/>
      <c r="J7" s="475"/>
      <c r="K7" s="475"/>
      <c r="L7" s="476"/>
      <c r="M7" s="102">
        <f>+SUM(M8:M27)</f>
        <v>90972</v>
      </c>
      <c r="N7" s="102">
        <f>+SUM(N8:N27)</f>
        <v>0</v>
      </c>
      <c r="O7" s="102">
        <f>+SUM(O8:O27)</f>
        <v>90972</v>
      </c>
      <c r="P7" s="102"/>
    </row>
    <row r="8" spans="1:19" s="93" customFormat="1" ht="24.95" customHeight="1">
      <c r="A8" s="88"/>
      <c r="B8" s="89"/>
      <c r="C8" s="104"/>
      <c r="D8" s="105"/>
      <c r="E8" s="481" t="s">
        <v>890</v>
      </c>
      <c r="F8" s="481"/>
      <c r="G8" s="481"/>
      <c r="H8" s="481"/>
      <c r="I8" s="391" t="s">
        <v>1231</v>
      </c>
      <c r="J8" s="391"/>
      <c r="K8" s="391"/>
      <c r="L8" s="479"/>
      <c r="M8" s="91"/>
      <c r="N8" s="91"/>
      <c r="O8" s="163"/>
      <c r="P8" s="163"/>
      <c r="Q8" s="366"/>
      <c r="R8" s="364"/>
      <c r="S8" s="98"/>
    </row>
    <row r="9" spans="1:19" s="111" customFormat="1" ht="24.95" customHeight="1">
      <c r="A9" s="106"/>
      <c r="B9" s="107"/>
      <c r="C9" s="107"/>
      <c r="D9" s="356"/>
      <c r="E9" s="495" t="s">
        <v>2003</v>
      </c>
      <c r="F9" s="496"/>
      <c r="G9" s="496"/>
      <c r="H9" s="496"/>
      <c r="I9" s="496"/>
      <c r="J9" s="496"/>
      <c r="K9" s="257"/>
      <c r="L9" s="250"/>
      <c r="M9" s="110"/>
      <c r="N9" s="110"/>
      <c r="O9" s="110"/>
      <c r="P9" s="170"/>
      <c r="Q9" s="367"/>
      <c r="R9" s="364"/>
      <c r="S9" s="98"/>
    </row>
    <row r="10" spans="1:19" s="113" customFormat="1" ht="24.95" customHeight="1">
      <c r="A10" s="106"/>
      <c r="B10" s="107"/>
      <c r="C10" s="107"/>
      <c r="D10" s="356"/>
      <c r="E10" s="493" t="s">
        <v>1995</v>
      </c>
      <c r="F10" s="494"/>
      <c r="G10" s="494"/>
      <c r="H10" s="494"/>
      <c r="I10" s="494"/>
      <c r="J10" s="497"/>
      <c r="K10" s="497"/>
      <c r="L10" s="210"/>
      <c r="M10" s="210"/>
      <c r="N10" s="110"/>
      <c r="O10" s="110"/>
      <c r="P10" s="170"/>
      <c r="Q10" s="368"/>
      <c r="R10" s="364"/>
      <c r="S10" s="98"/>
    </row>
    <row r="11" spans="1:19" ht="24.95" customHeight="1">
      <c r="A11" s="195"/>
      <c r="B11" s="195"/>
      <c r="C11" s="195"/>
      <c r="D11" s="196"/>
      <c r="E11" s="357"/>
      <c r="F11" s="358"/>
      <c r="G11" s="358" t="s">
        <v>1996</v>
      </c>
      <c r="H11" s="358"/>
      <c r="J11" s="359"/>
      <c r="K11" s="359"/>
      <c r="L11" s="109"/>
      <c r="M11" s="325"/>
      <c r="N11" s="326"/>
      <c r="O11" s="340"/>
      <c r="P11" s="340"/>
      <c r="Q11" s="369"/>
    </row>
    <row r="12" spans="1:19" s="113" customFormat="1" ht="24.95" customHeight="1">
      <c r="A12" s="106"/>
      <c r="B12" s="107"/>
      <c r="C12" s="107"/>
      <c r="D12" s="356"/>
      <c r="E12" s="493" t="s">
        <v>2004</v>
      </c>
      <c r="F12" s="494"/>
      <c r="G12" s="494"/>
      <c r="H12" s="494"/>
      <c r="I12" s="494"/>
      <c r="J12" s="531"/>
      <c r="K12" s="531"/>
      <c r="L12" s="210"/>
      <c r="M12" s="210">
        <v>22920</v>
      </c>
      <c r="N12" s="329"/>
      <c r="O12" s="329">
        <f>+M12-N12</f>
        <v>22920</v>
      </c>
      <c r="P12" s="374" t="s">
        <v>2005</v>
      </c>
      <c r="Q12" s="368"/>
      <c r="R12" s="364"/>
      <c r="S12" s="98"/>
    </row>
    <row r="13" spans="1:19" s="113" customFormat="1" ht="24.95" customHeight="1">
      <c r="A13" s="106"/>
      <c r="B13" s="107"/>
      <c r="C13" s="107"/>
      <c r="D13" s="356"/>
      <c r="E13" s="493" t="s">
        <v>1997</v>
      </c>
      <c r="F13" s="494"/>
      <c r="G13" s="494"/>
      <c r="H13" s="494"/>
      <c r="I13" s="494"/>
      <c r="J13" s="474"/>
      <c r="K13" s="474"/>
      <c r="L13" s="109"/>
      <c r="M13" s="109"/>
      <c r="N13" s="326"/>
      <c r="O13" s="326">
        <f>+M13-N13</f>
        <v>0</v>
      </c>
      <c r="P13" s="375"/>
      <c r="Q13" s="368"/>
      <c r="R13" s="364"/>
      <c r="S13" s="98"/>
    </row>
    <row r="14" spans="1:19" s="113" customFormat="1" ht="15" customHeight="1">
      <c r="A14" s="106"/>
      <c r="B14" s="107"/>
      <c r="C14" s="107"/>
      <c r="D14" s="356"/>
      <c r="E14" s="360"/>
      <c r="F14" s="361"/>
      <c r="G14" s="361"/>
      <c r="H14" s="361"/>
      <c r="I14" s="361"/>
      <c r="J14" s="359"/>
      <c r="K14" s="359"/>
      <c r="L14" s="109"/>
      <c r="M14" s="325"/>
      <c r="N14" s="326"/>
      <c r="O14" s="326"/>
      <c r="P14" s="375"/>
      <c r="Q14" s="368"/>
      <c r="R14" s="364"/>
      <c r="S14" s="98"/>
    </row>
    <row r="15" spans="1:19" ht="24.95" customHeight="1">
      <c r="A15" s="195"/>
      <c r="B15" s="195"/>
      <c r="C15" s="195"/>
      <c r="D15" s="196"/>
      <c r="E15" s="357"/>
      <c r="F15" s="358"/>
      <c r="G15" s="358" t="s">
        <v>1999</v>
      </c>
      <c r="H15" s="358"/>
      <c r="J15" s="359"/>
      <c r="K15" s="359"/>
      <c r="L15" s="109"/>
      <c r="M15" s="325"/>
      <c r="N15" s="326"/>
      <c r="O15" s="340"/>
      <c r="P15" s="376"/>
      <c r="Q15" s="369"/>
    </row>
    <row r="16" spans="1:19" s="113" customFormat="1" ht="24.95" customHeight="1">
      <c r="A16" s="106"/>
      <c r="B16" s="107"/>
      <c r="C16" s="107"/>
      <c r="D16" s="356"/>
      <c r="E16" s="493" t="s">
        <v>2000</v>
      </c>
      <c r="F16" s="494"/>
      <c r="G16" s="494"/>
      <c r="H16" s="494"/>
      <c r="I16" s="494"/>
      <c r="J16" s="531"/>
      <c r="K16" s="531"/>
      <c r="L16" s="210"/>
      <c r="M16" s="210">
        <v>28332</v>
      </c>
      <c r="N16" s="329"/>
      <c r="O16" s="329">
        <f>+M16-N16</f>
        <v>28332</v>
      </c>
      <c r="P16" s="374" t="s">
        <v>2005</v>
      </c>
      <c r="Q16" s="368"/>
      <c r="R16" s="364"/>
      <c r="S16" s="98"/>
    </row>
    <row r="17" spans="1:19" s="113" customFormat="1" ht="24.95" customHeight="1">
      <c r="A17" s="106"/>
      <c r="B17" s="107"/>
      <c r="C17" s="107"/>
      <c r="D17" s="356"/>
      <c r="E17" s="493" t="s">
        <v>1997</v>
      </c>
      <c r="F17" s="494"/>
      <c r="G17" s="494"/>
      <c r="H17" s="494"/>
      <c r="I17" s="494"/>
      <c r="J17" s="474"/>
      <c r="K17" s="474"/>
      <c r="L17" s="109"/>
      <c r="M17" s="325">
        <f>+L17</f>
        <v>0</v>
      </c>
      <c r="N17" s="326"/>
      <c r="O17" s="326">
        <f>+M17-N17</f>
        <v>0</v>
      </c>
      <c r="P17" s="375"/>
      <c r="Q17" s="368"/>
      <c r="R17" s="364"/>
      <c r="S17" s="98"/>
    </row>
    <row r="18" spans="1:19" s="113" customFormat="1" ht="24.95" customHeight="1">
      <c r="A18" s="106"/>
      <c r="B18" s="107"/>
      <c r="C18" s="107"/>
      <c r="D18" s="356"/>
      <c r="E18" s="360"/>
      <c r="F18" s="361"/>
      <c r="G18" s="361"/>
      <c r="H18" s="361"/>
      <c r="I18" s="361"/>
      <c r="J18" s="359"/>
      <c r="K18" s="359"/>
      <c r="L18" s="109"/>
      <c r="M18" s="325"/>
      <c r="N18" s="326"/>
      <c r="O18" s="326"/>
      <c r="P18" s="375"/>
      <c r="Q18" s="368"/>
      <c r="R18" s="364"/>
      <c r="S18" s="98"/>
    </row>
    <row r="19" spans="1:19" s="113" customFormat="1" ht="24.95" customHeight="1">
      <c r="A19" s="106"/>
      <c r="B19" s="107"/>
      <c r="C19" s="107"/>
      <c r="D19" s="356"/>
      <c r="E19" s="493" t="s">
        <v>1998</v>
      </c>
      <c r="F19" s="494"/>
      <c r="G19" s="494"/>
      <c r="H19" s="494"/>
      <c r="I19" s="494"/>
      <c r="J19" s="497"/>
      <c r="K19" s="497"/>
      <c r="L19" s="210"/>
      <c r="M19" s="210"/>
      <c r="N19" s="110"/>
      <c r="O19" s="110"/>
      <c r="P19" s="374"/>
      <c r="Q19" s="368"/>
      <c r="R19" s="364"/>
      <c r="S19" s="98"/>
    </row>
    <row r="20" spans="1:19" ht="24.95" customHeight="1">
      <c r="A20" s="195"/>
      <c r="B20" s="195"/>
      <c r="C20" s="195"/>
      <c r="D20" s="196"/>
      <c r="E20" s="357"/>
      <c r="F20" s="358"/>
      <c r="G20" s="358" t="s">
        <v>1996</v>
      </c>
      <c r="H20" s="358"/>
      <c r="J20" s="359"/>
      <c r="K20" s="359"/>
      <c r="L20" s="109"/>
      <c r="M20" s="325"/>
      <c r="N20" s="326"/>
      <c r="O20" s="340"/>
      <c r="P20" s="376"/>
      <c r="Q20" s="369"/>
    </row>
    <row r="21" spans="1:19" s="113" customFormat="1" ht="24.95" customHeight="1">
      <c r="A21" s="106"/>
      <c r="B21" s="107"/>
      <c r="C21" s="107"/>
      <c r="D21" s="356"/>
      <c r="E21" s="493" t="s">
        <v>2002</v>
      </c>
      <c r="F21" s="494"/>
      <c r="G21" s="494"/>
      <c r="H21" s="494"/>
      <c r="I21" s="494"/>
      <c r="J21" s="531"/>
      <c r="K21" s="531"/>
      <c r="L21" s="210"/>
      <c r="M21" s="210">
        <v>15900</v>
      </c>
      <c r="N21" s="329"/>
      <c r="O21" s="329">
        <f>+M21-N21</f>
        <v>15900</v>
      </c>
      <c r="P21" s="374" t="s">
        <v>2005</v>
      </c>
      <c r="Q21" s="368"/>
      <c r="R21" s="364"/>
      <c r="S21" s="98"/>
    </row>
    <row r="22" spans="1:19" s="113" customFormat="1" ht="24.95" customHeight="1">
      <c r="A22" s="106"/>
      <c r="B22" s="107"/>
      <c r="C22" s="107"/>
      <c r="D22" s="356"/>
      <c r="E22" s="493" t="s">
        <v>1997</v>
      </c>
      <c r="F22" s="494"/>
      <c r="G22" s="494"/>
      <c r="H22" s="494"/>
      <c r="I22" s="494"/>
      <c r="J22" s="474"/>
      <c r="K22" s="474"/>
      <c r="L22" s="109"/>
      <c r="M22" s="325">
        <f>+L22</f>
        <v>0</v>
      </c>
      <c r="N22" s="326"/>
      <c r="O22" s="326">
        <f>+M22-N22</f>
        <v>0</v>
      </c>
      <c r="P22" s="375"/>
      <c r="Q22" s="368"/>
      <c r="R22" s="364"/>
      <c r="S22" s="98"/>
    </row>
    <row r="23" spans="1:19" s="113" customFormat="1" ht="15" customHeight="1">
      <c r="A23" s="106"/>
      <c r="B23" s="107"/>
      <c r="C23" s="107"/>
      <c r="D23" s="356"/>
      <c r="E23" s="360"/>
      <c r="F23" s="361"/>
      <c r="G23" s="361"/>
      <c r="H23" s="361"/>
      <c r="I23" s="361"/>
      <c r="J23" s="359"/>
      <c r="K23" s="359"/>
      <c r="L23" s="109"/>
      <c r="M23" s="325"/>
      <c r="N23" s="326"/>
      <c r="O23" s="326"/>
      <c r="P23" s="375"/>
      <c r="Q23" s="368"/>
      <c r="R23" s="364"/>
      <c r="S23" s="98"/>
    </row>
    <row r="24" spans="1:19" ht="24.95" customHeight="1">
      <c r="A24" s="195"/>
      <c r="B24" s="195"/>
      <c r="C24" s="195"/>
      <c r="D24" s="196"/>
      <c r="E24" s="357"/>
      <c r="F24" s="358"/>
      <c r="G24" s="358" t="s">
        <v>1999</v>
      </c>
      <c r="H24" s="358"/>
      <c r="J24" s="359"/>
      <c r="K24" s="359"/>
      <c r="L24" s="109"/>
      <c r="M24" s="325"/>
      <c r="N24" s="326"/>
      <c r="O24" s="340"/>
      <c r="P24" s="376"/>
      <c r="Q24" s="369"/>
    </row>
    <row r="25" spans="1:19" s="113" customFormat="1" ht="24.95" customHeight="1">
      <c r="A25" s="106"/>
      <c r="B25" s="107"/>
      <c r="C25" s="107"/>
      <c r="D25" s="356"/>
      <c r="E25" s="493" t="s">
        <v>2001</v>
      </c>
      <c r="F25" s="494"/>
      <c r="G25" s="494"/>
      <c r="H25" s="494"/>
      <c r="I25" s="494"/>
      <c r="J25" s="531"/>
      <c r="K25" s="531"/>
      <c r="L25" s="210"/>
      <c r="M25" s="210">
        <v>23820</v>
      </c>
      <c r="N25" s="329"/>
      <c r="O25" s="329">
        <f>+M25-N25</f>
        <v>23820</v>
      </c>
      <c r="P25" s="374" t="s">
        <v>2005</v>
      </c>
      <c r="Q25" s="368"/>
      <c r="R25" s="364"/>
      <c r="S25" s="98"/>
    </row>
    <row r="26" spans="1:19" s="113" customFormat="1" ht="24.95" customHeight="1">
      <c r="A26" s="106"/>
      <c r="B26" s="107"/>
      <c r="C26" s="107"/>
      <c r="D26" s="356"/>
      <c r="E26" s="493" t="s">
        <v>1997</v>
      </c>
      <c r="F26" s="494"/>
      <c r="G26" s="494"/>
      <c r="H26" s="494"/>
      <c r="I26" s="494"/>
      <c r="J26" s="474"/>
      <c r="K26" s="474"/>
      <c r="L26" s="109"/>
      <c r="M26" s="325">
        <f>+L26</f>
        <v>0</v>
      </c>
      <c r="N26" s="326"/>
      <c r="O26" s="326">
        <f>+M26-N26</f>
        <v>0</v>
      </c>
      <c r="P26" s="375"/>
      <c r="Q26" s="368"/>
      <c r="R26" s="364"/>
    </row>
    <row r="27" spans="1:19" s="118" customFormat="1" ht="24.95" customHeight="1">
      <c r="A27" s="371"/>
      <c r="B27" s="371"/>
      <c r="C27" s="372"/>
      <c r="D27" s="373"/>
      <c r="E27" s="467"/>
      <c r="F27" s="468"/>
      <c r="G27" s="468"/>
      <c r="H27" s="468"/>
      <c r="I27" s="468"/>
      <c r="J27" s="469"/>
      <c r="K27" s="469"/>
      <c r="L27" s="116"/>
      <c r="M27" s="117"/>
      <c r="N27" s="117"/>
      <c r="O27" s="117"/>
      <c r="P27" s="363"/>
      <c r="Q27" s="370"/>
      <c r="R27" s="370"/>
    </row>
    <row r="28" spans="1:19" ht="7.5" customHeight="1">
      <c r="M28" s="119"/>
      <c r="O28" s="119"/>
      <c r="P28" s="119"/>
    </row>
    <row r="29" spans="1:19" ht="20.100000000000001" customHeight="1">
      <c r="M29" s="119"/>
      <c r="O29" s="119"/>
      <c r="P29" s="119"/>
    </row>
    <row r="30" spans="1:19" ht="20.100000000000001" customHeight="1">
      <c r="M30" s="119"/>
      <c r="O30" s="119"/>
      <c r="P30" s="119"/>
    </row>
    <row r="31" spans="1:19" ht="20.100000000000001" customHeight="1">
      <c r="M31" s="119"/>
      <c r="O31" s="119"/>
      <c r="P31" s="119"/>
    </row>
    <row r="32" spans="1:19" ht="20.100000000000001" customHeight="1">
      <c r="M32" s="119"/>
      <c r="O32" s="119"/>
      <c r="P32" s="119"/>
    </row>
    <row r="33" spans="13:16" ht="20.100000000000001" customHeight="1">
      <c r="M33" s="119"/>
      <c r="O33" s="119"/>
      <c r="P33" s="119"/>
    </row>
    <row r="34" spans="13:16" ht="20.100000000000001" customHeight="1">
      <c r="M34" s="119"/>
      <c r="O34" s="119"/>
      <c r="P34" s="119"/>
    </row>
    <row r="35" spans="13:16" ht="20.100000000000001" customHeight="1">
      <c r="M35" s="119"/>
      <c r="O35" s="119"/>
      <c r="P35" s="119"/>
    </row>
    <row r="36" spans="13:16" ht="20.100000000000001" customHeight="1">
      <c r="M36" s="119"/>
      <c r="O36" s="119"/>
      <c r="P36" s="119"/>
    </row>
    <row r="37" spans="13:16" ht="20.100000000000001" customHeight="1">
      <c r="M37" s="119"/>
      <c r="O37" s="119"/>
      <c r="P37" s="119"/>
    </row>
    <row r="38" spans="13:16" ht="20.100000000000001" customHeight="1">
      <c r="M38" s="119"/>
      <c r="O38" s="119"/>
      <c r="P38" s="119"/>
    </row>
    <row r="39" spans="13:16" ht="20.100000000000001" customHeight="1">
      <c r="M39" s="119"/>
      <c r="O39" s="119"/>
      <c r="P39" s="119"/>
    </row>
    <row r="40" spans="13:16" ht="20.100000000000001" customHeight="1">
      <c r="M40" s="119"/>
      <c r="O40" s="119"/>
      <c r="P40" s="119"/>
    </row>
    <row r="41" spans="13:16" ht="20.100000000000001" customHeight="1">
      <c r="M41" s="119"/>
      <c r="O41" s="119"/>
      <c r="P41" s="119"/>
    </row>
    <row r="42" spans="13:16" ht="20.100000000000001" customHeight="1">
      <c r="M42" s="119"/>
      <c r="O42" s="119"/>
      <c r="P42" s="119"/>
    </row>
    <row r="43" spans="13:16" ht="20.100000000000001" customHeight="1">
      <c r="M43" s="119"/>
      <c r="O43" s="119"/>
      <c r="P43" s="119"/>
    </row>
    <row r="44" spans="13:16" ht="20.100000000000001" customHeight="1">
      <c r="M44" s="119"/>
      <c r="O44" s="119"/>
      <c r="P44" s="119"/>
    </row>
    <row r="45" spans="13:16" ht="20.100000000000001" customHeight="1">
      <c r="M45" s="119"/>
      <c r="O45" s="119"/>
      <c r="P45" s="119"/>
    </row>
    <row r="46" spans="13:16" ht="20.100000000000001" customHeight="1">
      <c r="M46" s="119"/>
      <c r="O46" s="119"/>
      <c r="P46" s="119"/>
    </row>
    <row r="47" spans="13:16" ht="20.100000000000001" customHeight="1">
      <c r="M47" s="119"/>
      <c r="O47" s="119"/>
      <c r="P47" s="119"/>
    </row>
    <row r="48" spans="13:16" ht="20.100000000000001" customHeight="1">
      <c r="M48" s="119"/>
      <c r="O48" s="119"/>
      <c r="P48" s="119"/>
    </row>
    <row r="49" spans="13:16" ht="20.100000000000001" customHeight="1">
      <c r="M49" s="119"/>
      <c r="O49" s="119"/>
      <c r="P49" s="119"/>
    </row>
    <row r="50" spans="13:16" ht="20.100000000000001" customHeight="1">
      <c r="M50" s="119"/>
      <c r="O50" s="119"/>
      <c r="P50" s="119"/>
    </row>
    <row r="51" spans="13:16" ht="20.100000000000001" customHeight="1">
      <c r="M51" s="119"/>
      <c r="O51" s="119"/>
      <c r="P51" s="119"/>
    </row>
    <row r="52" spans="13:16" ht="20.100000000000001" customHeight="1">
      <c r="M52" s="119"/>
      <c r="O52" s="119"/>
      <c r="P52" s="119"/>
    </row>
    <row r="53" spans="13:16" ht="20.100000000000001" customHeight="1">
      <c r="M53" s="119"/>
      <c r="O53" s="119"/>
      <c r="P53" s="119"/>
    </row>
    <row r="54" spans="13:16" ht="20.100000000000001" customHeight="1">
      <c r="M54" s="119"/>
      <c r="O54" s="119"/>
      <c r="P54" s="119"/>
    </row>
    <row r="55" spans="13:16" ht="20.100000000000001" customHeight="1">
      <c r="M55" s="119"/>
      <c r="O55" s="119"/>
      <c r="P55" s="119"/>
    </row>
    <row r="56" spans="13:16" ht="20.100000000000001" customHeight="1">
      <c r="M56" s="119"/>
      <c r="O56" s="119"/>
      <c r="P56" s="119"/>
    </row>
    <row r="57" spans="13:16" ht="20.100000000000001" customHeight="1">
      <c r="M57" s="119"/>
      <c r="O57" s="119"/>
      <c r="P57" s="119"/>
    </row>
    <row r="58" spans="13:16" ht="20.100000000000001" customHeight="1">
      <c r="M58" s="119"/>
      <c r="O58" s="119"/>
      <c r="P58" s="119"/>
    </row>
    <row r="59" spans="13:16" ht="20.100000000000001" customHeight="1">
      <c r="M59" s="119"/>
      <c r="O59" s="119"/>
      <c r="P59" s="119"/>
    </row>
    <row r="60" spans="13:16" ht="20.100000000000001" customHeight="1">
      <c r="M60" s="119"/>
      <c r="O60" s="119"/>
      <c r="P60" s="119"/>
    </row>
    <row r="61" spans="13:16" ht="20.100000000000001" customHeight="1">
      <c r="M61" s="119"/>
      <c r="O61" s="119"/>
      <c r="P61" s="119"/>
    </row>
    <row r="62" spans="13:16" ht="20.100000000000001" customHeight="1">
      <c r="M62" s="119"/>
      <c r="O62" s="119"/>
      <c r="P62" s="119"/>
    </row>
    <row r="63" spans="13:16" ht="20.100000000000001" customHeight="1">
      <c r="M63" s="119"/>
      <c r="O63" s="119"/>
      <c r="P63" s="119"/>
    </row>
    <row r="64" spans="13:16" ht="20.100000000000001" customHeight="1">
      <c r="M64" s="119"/>
      <c r="O64" s="119"/>
      <c r="P64" s="119"/>
    </row>
    <row r="65" spans="13:16" ht="20.100000000000001" customHeight="1">
      <c r="M65" s="119"/>
      <c r="O65" s="119"/>
      <c r="P65" s="119"/>
    </row>
    <row r="66" spans="13:16" ht="20.100000000000001" customHeight="1">
      <c r="M66" s="119"/>
      <c r="O66" s="119"/>
      <c r="P66" s="119"/>
    </row>
    <row r="67" spans="13:16" ht="20.100000000000001" customHeight="1">
      <c r="M67" s="119"/>
      <c r="O67" s="119"/>
      <c r="P67" s="119"/>
    </row>
    <row r="68" spans="13:16" ht="20.100000000000001" customHeight="1">
      <c r="M68" s="119"/>
      <c r="O68" s="119"/>
      <c r="P68" s="119"/>
    </row>
    <row r="69" spans="13:16" ht="20.100000000000001" customHeight="1">
      <c r="M69" s="119"/>
      <c r="O69" s="119"/>
      <c r="P69" s="119"/>
    </row>
    <row r="70" spans="13:16" ht="20.100000000000001" customHeight="1">
      <c r="M70" s="119"/>
      <c r="O70" s="119"/>
      <c r="P70" s="119"/>
    </row>
    <row r="71" spans="13:16" ht="20.100000000000001" customHeight="1">
      <c r="M71" s="119"/>
      <c r="O71" s="119"/>
      <c r="P71" s="119"/>
    </row>
    <row r="72" spans="13:16" ht="20.100000000000001" customHeight="1">
      <c r="M72" s="119"/>
      <c r="O72" s="119"/>
      <c r="P72" s="119"/>
    </row>
    <row r="73" spans="13:16" ht="20.100000000000001" customHeight="1">
      <c r="M73" s="119"/>
      <c r="O73" s="119"/>
      <c r="P73" s="119"/>
    </row>
    <row r="74" spans="13:16" ht="20.100000000000001" customHeight="1">
      <c r="M74" s="119"/>
      <c r="O74" s="119"/>
      <c r="P74" s="119"/>
    </row>
    <row r="75" spans="13:16" ht="20.100000000000001" customHeight="1">
      <c r="M75" s="119"/>
      <c r="O75" s="119"/>
      <c r="P75" s="119"/>
    </row>
    <row r="76" spans="13:16" ht="20.100000000000001" customHeight="1">
      <c r="M76" s="119"/>
      <c r="O76" s="119"/>
      <c r="P76" s="119"/>
    </row>
    <row r="77" spans="13:16" ht="20.100000000000001" customHeight="1">
      <c r="M77" s="119"/>
      <c r="O77" s="119"/>
      <c r="P77" s="119"/>
    </row>
    <row r="78" spans="13:16" ht="20.100000000000001" customHeight="1">
      <c r="M78" s="119"/>
      <c r="O78" s="119"/>
      <c r="P78" s="119"/>
    </row>
    <row r="79" spans="13:16" ht="20.100000000000001" customHeight="1">
      <c r="M79" s="119"/>
      <c r="O79" s="119"/>
      <c r="P79" s="119"/>
    </row>
    <row r="80" spans="13:16" ht="20.100000000000001" customHeight="1">
      <c r="M80" s="119"/>
      <c r="O80" s="119"/>
      <c r="P80" s="119"/>
    </row>
    <row r="81" spans="13:16" ht="20.100000000000001" customHeight="1">
      <c r="M81" s="119"/>
      <c r="O81" s="119"/>
      <c r="P81" s="119"/>
    </row>
    <row r="82" spans="13:16" ht="20.100000000000001" customHeight="1">
      <c r="M82" s="119"/>
      <c r="O82" s="119"/>
      <c r="P82" s="119"/>
    </row>
    <row r="83" spans="13:16" ht="20.100000000000001" customHeight="1">
      <c r="M83" s="119"/>
      <c r="O83" s="119"/>
      <c r="P83" s="119"/>
    </row>
    <row r="84" spans="13:16" ht="20.100000000000001" customHeight="1">
      <c r="M84" s="119"/>
      <c r="O84" s="119"/>
      <c r="P84" s="119"/>
    </row>
    <row r="85" spans="13:16" ht="20.100000000000001" customHeight="1">
      <c r="M85" s="119"/>
      <c r="O85" s="119"/>
      <c r="P85" s="119"/>
    </row>
    <row r="86" spans="13:16" ht="20.100000000000001" customHeight="1">
      <c r="M86" s="119"/>
      <c r="O86" s="119"/>
      <c r="P86" s="119"/>
    </row>
    <row r="87" spans="13:16" ht="20.100000000000001" customHeight="1">
      <c r="M87" s="119"/>
      <c r="O87" s="119"/>
      <c r="P87" s="119"/>
    </row>
    <row r="88" spans="13:16" ht="20.100000000000001" customHeight="1">
      <c r="M88" s="119"/>
      <c r="O88" s="119"/>
      <c r="P88" s="119"/>
    </row>
    <row r="89" spans="13:16" ht="20.100000000000001" customHeight="1">
      <c r="M89" s="119"/>
      <c r="O89" s="119"/>
      <c r="P89" s="119"/>
    </row>
    <row r="90" spans="13:16" ht="20.100000000000001" customHeight="1">
      <c r="M90" s="119"/>
      <c r="O90" s="119"/>
      <c r="P90" s="119"/>
    </row>
    <row r="91" spans="13:16" ht="20.100000000000001" customHeight="1">
      <c r="M91" s="119"/>
      <c r="O91" s="119"/>
      <c r="P91" s="119"/>
    </row>
    <row r="92" spans="13:16" ht="20.100000000000001" customHeight="1">
      <c r="M92" s="119"/>
      <c r="O92" s="119"/>
      <c r="P92" s="119"/>
    </row>
    <row r="93" spans="13:16" ht="20.100000000000001" customHeight="1">
      <c r="M93" s="119"/>
      <c r="O93" s="119"/>
      <c r="P93" s="119"/>
    </row>
    <row r="94" spans="13:16" ht="20.100000000000001" customHeight="1">
      <c r="M94" s="119"/>
      <c r="O94" s="119"/>
      <c r="P94" s="119"/>
    </row>
    <row r="95" spans="13:16" ht="20.100000000000001" customHeight="1">
      <c r="M95" s="119"/>
      <c r="O95" s="119"/>
      <c r="P95" s="119"/>
    </row>
    <row r="96" spans="13:16" ht="20.100000000000001" customHeight="1">
      <c r="M96" s="119"/>
      <c r="O96" s="119"/>
      <c r="P96" s="119"/>
    </row>
    <row r="97" spans="13:16" ht="20.100000000000001" customHeight="1">
      <c r="M97" s="119"/>
      <c r="O97" s="119"/>
      <c r="P97" s="119"/>
    </row>
    <row r="98" spans="13:16" ht="20.100000000000001" customHeight="1">
      <c r="M98" s="119"/>
      <c r="O98" s="119"/>
      <c r="P98" s="119"/>
    </row>
    <row r="99" spans="13:16" ht="20.100000000000001" customHeight="1">
      <c r="M99" s="119"/>
      <c r="O99" s="119"/>
      <c r="P99" s="119"/>
    </row>
    <row r="100" spans="13:16" ht="20.100000000000001" customHeight="1">
      <c r="M100" s="119"/>
      <c r="O100" s="119"/>
      <c r="P100" s="119"/>
    </row>
    <row r="101" spans="13:16" ht="20.100000000000001" customHeight="1">
      <c r="M101" s="119"/>
      <c r="O101" s="119"/>
      <c r="P101" s="119"/>
    </row>
    <row r="102" spans="13:16" ht="20.100000000000001" customHeight="1">
      <c r="M102" s="119"/>
      <c r="O102" s="119"/>
      <c r="P102" s="119"/>
    </row>
    <row r="103" spans="13:16" ht="20.100000000000001" customHeight="1">
      <c r="M103" s="119"/>
      <c r="O103" s="119"/>
      <c r="P103" s="119"/>
    </row>
    <row r="104" spans="13:16" ht="20.100000000000001" customHeight="1">
      <c r="M104" s="119"/>
      <c r="O104" s="119"/>
      <c r="P104" s="119"/>
    </row>
    <row r="105" spans="13:16" ht="20.100000000000001" customHeight="1">
      <c r="M105" s="119"/>
      <c r="O105" s="119"/>
      <c r="P105" s="119"/>
    </row>
    <row r="106" spans="13:16" ht="20.100000000000001" customHeight="1">
      <c r="M106" s="119"/>
      <c r="O106" s="119"/>
      <c r="P106" s="119"/>
    </row>
    <row r="107" spans="13:16" ht="20.100000000000001" customHeight="1">
      <c r="M107" s="119"/>
      <c r="O107" s="119"/>
      <c r="P107" s="119"/>
    </row>
    <row r="108" spans="13:16" ht="20.100000000000001" customHeight="1">
      <c r="M108" s="119"/>
      <c r="O108" s="119"/>
      <c r="P108" s="119"/>
    </row>
    <row r="109" spans="13:16" ht="20.100000000000001" customHeight="1">
      <c r="M109" s="119"/>
      <c r="O109" s="119"/>
      <c r="P109" s="119"/>
    </row>
    <row r="110" spans="13:16" ht="20.100000000000001" customHeight="1">
      <c r="M110" s="119"/>
      <c r="O110" s="119"/>
      <c r="P110" s="119"/>
    </row>
    <row r="111" spans="13:16" ht="20.100000000000001" customHeight="1">
      <c r="M111" s="119"/>
      <c r="O111" s="119"/>
      <c r="P111" s="119"/>
    </row>
    <row r="112" spans="13:16" ht="20.100000000000001" customHeight="1">
      <c r="M112" s="119"/>
      <c r="O112" s="119"/>
      <c r="P112" s="119"/>
    </row>
    <row r="113" spans="13:16" ht="20.100000000000001" customHeight="1">
      <c r="M113" s="119"/>
      <c r="O113" s="119"/>
      <c r="P113" s="119"/>
    </row>
    <row r="114" spans="13:16" ht="20.100000000000001" customHeight="1">
      <c r="M114" s="119"/>
      <c r="O114" s="119"/>
      <c r="P114" s="119"/>
    </row>
    <row r="115" spans="13:16" ht="20.100000000000001" customHeight="1">
      <c r="M115" s="119"/>
      <c r="O115" s="119"/>
      <c r="P115" s="119"/>
    </row>
    <row r="116" spans="13:16" ht="20.100000000000001" customHeight="1">
      <c r="M116" s="119"/>
      <c r="O116" s="119"/>
      <c r="P116" s="119"/>
    </row>
    <row r="117" spans="13:16" ht="20.100000000000001" customHeight="1">
      <c r="M117" s="119"/>
      <c r="O117" s="119"/>
      <c r="P117" s="119"/>
    </row>
    <row r="118" spans="13:16" ht="20.100000000000001" customHeight="1">
      <c r="M118" s="119"/>
      <c r="O118" s="119"/>
      <c r="P118" s="119"/>
    </row>
    <row r="119" spans="13:16" ht="20.100000000000001" customHeight="1">
      <c r="M119" s="119"/>
      <c r="O119" s="119"/>
      <c r="P119" s="119"/>
    </row>
    <row r="120" spans="13:16" ht="20.100000000000001" customHeight="1">
      <c r="M120" s="119"/>
      <c r="O120" s="119"/>
      <c r="P120" s="119"/>
    </row>
    <row r="121" spans="13:16" ht="20.100000000000001" customHeight="1">
      <c r="M121" s="119"/>
      <c r="O121" s="119"/>
      <c r="P121" s="119"/>
    </row>
    <row r="122" spans="13:16" ht="20.100000000000001" customHeight="1">
      <c r="M122" s="119"/>
      <c r="O122" s="119"/>
      <c r="P122" s="119"/>
    </row>
    <row r="123" spans="13:16" ht="20.100000000000001" customHeight="1">
      <c r="M123" s="119"/>
      <c r="O123" s="119"/>
      <c r="P123" s="119"/>
    </row>
    <row r="124" spans="13:16" ht="20.100000000000001" customHeight="1">
      <c r="M124" s="119"/>
      <c r="O124" s="119"/>
      <c r="P124" s="119"/>
    </row>
    <row r="125" spans="13:16" ht="20.100000000000001" customHeight="1">
      <c r="M125" s="119"/>
      <c r="O125" s="119"/>
      <c r="P125" s="119"/>
    </row>
    <row r="126" spans="13:16" ht="20.100000000000001" customHeight="1">
      <c r="M126" s="119"/>
      <c r="O126" s="119"/>
      <c r="P126" s="119"/>
    </row>
    <row r="127" spans="13:16" ht="20.100000000000001" customHeight="1">
      <c r="M127" s="119"/>
      <c r="O127" s="119"/>
      <c r="P127" s="119"/>
    </row>
    <row r="128" spans="13:16" ht="20.100000000000001" customHeight="1">
      <c r="M128" s="119"/>
      <c r="O128" s="119"/>
      <c r="P128" s="119"/>
    </row>
    <row r="129" spans="13:16" ht="20.100000000000001" customHeight="1">
      <c r="M129" s="119"/>
      <c r="O129" s="119"/>
      <c r="P129" s="119"/>
    </row>
    <row r="130" spans="13:16" ht="20.100000000000001" customHeight="1">
      <c r="M130" s="119"/>
      <c r="O130" s="119"/>
      <c r="P130" s="119"/>
    </row>
    <row r="131" spans="13:16" ht="20.100000000000001" customHeight="1">
      <c r="M131" s="119"/>
      <c r="O131" s="119"/>
      <c r="P131" s="119"/>
    </row>
    <row r="132" spans="13:16" ht="20.100000000000001" customHeight="1">
      <c r="M132" s="119"/>
      <c r="O132" s="119"/>
      <c r="P132" s="119"/>
    </row>
    <row r="133" spans="13:16" ht="20.100000000000001" customHeight="1">
      <c r="M133" s="119"/>
      <c r="O133" s="119"/>
      <c r="P133" s="119"/>
    </row>
    <row r="134" spans="13:16" ht="20.100000000000001" customHeight="1">
      <c r="M134" s="119"/>
      <c r="O134" s="119"/>
      <c r="P134" s="119"/>
    </row>
    <row r="135" spans="13:16" ht="20.100000000000001" customHeight="1">
      <c r="M135" s="119"/>
      <c r="O135" s="119"/>
      <c r="P135" s="119"/>
    </row>
    <row r="136" spans="13:16" ht="20.100000000000001" customHeight="1">
      <c r="M136" s="119"/>
      <c r="O136" s="119"/>
      <c r="P136" s="119"/>
    </row>
    <row r="137" spans="13:16" ht="20.100000000000001" customHeight="1">
      <c r="M137" s="119"/>
      <c r="O137" s="119"/>
      <c r="P137" s="119"/>
    </row>
    <row r="138" spans="13:16" ht="20.100000000000001" customHeight="1">
      <c r="M138" s="119"/>
      <c r="O138" s="119"/>
      <c r="P138" s="119"/>
    </row>
    <row r="139" spans="13:16" ht="20.100000000000001" customHeight="1">
      <c r="M139" s="119"/>
      <c r="O139" s="119"/>
      <c r="P139" s="119"/>
    </row>
    <row r="140" spans="13:16" ht="20.100000000000001" customHeight="1">
      <c r="M140" s="119"/>
      <c r="O140" s="119"/>
      <c r="P140" s="119"/>
    </row>
    <row r="141" spans="13:16" ht="20.100000000000001" customHeight="1">
      <c r="M141" s="119"/>
      <c r="O141" s="119"/>
      <c r="P141" s="119"/>
    </row>
    <row r="142" spans="13:16" ht="20.100000000000001" customHeight="1">
      <c r="M142" s="119"/>
      <c r="O142" s="119"/>
      <c r="P142" s="119"/>
    </row>
    <row r="143" spans="13:16" ht="20.100000000000001" customHeight="1">
      <c r="M143" s="119"/>
      <c r="O143" s="119"/>
      <c r="P143" s="119"/>
    </row>
    <row r="144" spans="13:16" ht="20.100000000000001" customHeight="1">
      <c r="M144" s="119"/>
      <c r="O144" s="119"/>
      <c r="P144" s="119"/>
    </row>
    <row r="145" spans="13:16" ht="20.100000000000001" customHeight="1">
      <c r="M145" s="119"/>
      <c r="O145" s="119"/>
      <c r="P145" s="119"/>
    </row>
    <row r="146" spans="13:16" ht="20.100000000000001" customHeight="1">
      <c r="M146" s="119"/>
      <c r="O146" s="119"/>
      <c r="P146" s="119"/>
    </row>
    <row r="147" spans="13:16" ht="20.100000000000001" customHeight="1">
      <c r="M147" s="119"/>
      <c r="O147" s="119"/>
      <c r="P147" s="119"/>
    </row>
    <row r="148" spans="13:16" ht="20.100000000000001" customHeight="1">
      <c r="M148" s="119"/>
      <c r="O148" s="119"/>
      <c r="P148" s="119"/>
    </row>
    <row r="149" spans="13:16" ht="20.100000000000001" customHeight="1">
      <c r="M149" s="119"/>
      <c r="O149" s="119"/>
      <c r="P149" s="119"/>
    </row>
    <row r="150" spans="13:16" ht="20.100000000000001" customHeight="1">
      <c r="M150" s="119"/>
      <c r="O150" s="119"/>
      <c r="P150" s="119"/>
    </row>
    <row r="151" spans="13:16" ht="20.100000000000001" customHeight="1">
      <c r="M151" s="119"/>
      <c r="O151" s="119"/>
      <c r="P151" s="119"/>
    </row>
    <row r="152" spans="13:16" ht="20.100000000000001" customHeight="1">
      <c r="M152" s="119"/>
      <c r="O152" s="119"/>
      <c r="P152" s="119"/>
    </row>
    <row r="153" spans="13:16" ht="20.100000000000001" customHeight="1">
      <c r="M153" s="119"/>
      <c r="O153" s="119"/>
      <c r="P153" s="119"/>
    </row>
    <row r="154" spans="13:16" ht="20.100000000000001" customHeight="1">
      <c r="M154" s="119"/>
      <c r="O154" s="119"/>
      <c r="P154" s="119"/>
    </row>
    <row r="155" spans="13:16" ht="20.100000000000001" customHeight="1">
      <c r="M155" s="119"/>
      <c r="O155" s="119"/>
      <c r="P155" s="119"/>
    </row>
    <row r="156" spans="13:16" ht="20.100000000000001" customHeight="1">
      <c r="M156" s="119"/>
      <c r="O156" s="119"/>
      <c r="P156" s="119"/>
    </row>
    <row r="157" spans="13:16" ht="20.100000000000001" customHeight="1">
      <c r="M157" s="119"/>
      <c r="O157" s="119"/>
      <c r="P157" s="119"/>
    </row>
    <row r="158" spans="13:16" ht="20.100000000000001" customHeight="1">
      <c r="M158" s="119"/>
      <c r="O158" s="119"/>
      <c r="P158" s="119"/>
    </row>
    <row r="159" spans="13:16" ht="20.100000000000001" customHeight="1">
      <c r="M159" s="119"/>
      <c r="O159" s="119"/>
      <c r="P159" s="119"/>
    </row>
    <row r="160" spans="13:16" ht="20.100000000000001" customHeight="1">
      <c r="M160" s="119"/>
      <c r="O160" s="119"/>
      <c r="P160" s="119"/>
    </row>
    <row r="161" spans="13:16" ht="20.100000000000001" customHeight="1">
      <c r="M161" s="119"/>
      <c r="O161" s="119"/>
      <c r="P161" s="119"/>
    </row>
    <row r="162" spans="13:16" ht="20.100000000000001" customHeight="1">
      <c r="M162" s="119"/>
      <c r="O162" s="119"/>
      <c r="P162" s="119"/>
    </row>
    <row r="163" spans="13:16" ht="20.100000000000001" customHeight="1">
      <c r="M163" s="119"/>
      <c r="O163" s="119"/>
      <c r="P163" s="119"/>
    </row>
    <row r="164" spans="13:16" ht="20.100000000000001" customHeight="1">
      <c r="M164" s="119"/>
      <c r="O164" s="119"/>
      <c r="P164" s="119"/>
    </row>
    <row r="165" spans="13:16" ht="20.100000000000001" customHeight="1">
      <c r="M165" s="119"/>
      <c r="O165" s="119"/>
      <c r="P165" s="119"/>
    </row>
    <row r="166" spans="13:16" ht="20.100000000000001" customHeight="1">
      <c r="M166" s="119"/>
      <c r="O166" s="119"/>
      <c r="P166" s="119"/>
    </row>
    <row r="167" spans="13:16" ht="20.100000000000001" customHeight="1">
      <c r="M167" s="119"/>
      <c r="O167" s="119"/>
      <c r="P167" s="119"/>
    </row>
    <row r="168" spans="13:16" ht="20.100000000000001" customHeight="1">
      <c r="M168" s="119"/>
      <c r="O168" s="119"/>
      <c r="P168" s="119"/>
    </row>
    <row r="169" spans="13:16" ht="20.100000000000001" customHeight="1">
      <c r="M169" s="119"/>
      <c r="O169" s="119"/>
      <c r="P169" s="119"/>
    </row>
    <row r="170" spans="13:16" ht="20.100000000000001" customHeight="1">
      <c r="M170" s="119"/>
      <c r="O170" s="119"/>
      <c r="P170" s="119"/>
    </row>
    <row r="171" spans="13:16" ht="20.100000000000001" customHeight="1">
      <c r="M171" s="119"/>
      <c r="O171" s="119"/>
      <c r="P171" s="119"/>
    </row>
    <row r="172" spans="13:16" ht="20.100000000000001" customHeight="1">
      <c r="M172" s="119"/>
      <c r="O172" s="119"/>
      <c r="P172" s="119"/>
    </row>
    <row r="173" spans="13:16" ht="20.100000000000001" customHeight="1">
      <c r="M173" s="119"/>
      <c r="O173" s="119"/>
      <c r="P173" s="119"/>
    </row>
    <row r="174" spans="13:16" ht="20.100000000000001" customHeight="1">
      <c r="M174" s="119"/>
      <c r="O174" s="119"/>
      <c r="P174" s="119"/>
    </row>
    <row r="175" spans="13:16" ht="20.100000000000001" customHeight="1">
      <c r="M175" s="119"/>
      <c r="O175" s="119"/>
      <c r="P175" s="119"/>
    </row>
    <row r="176" spans="13:16" ht="20.100000000000001" customHeight="1">
      <c r="M176" s="119"/>
      <c r="O176" s="119"/>
      <c r="P176" s="119"/>
    </row>
    <row r="177" spans="13:16" ht="20.100000000000001" customHeight="1">
      <c r="M177" s="119"/>
      <c r="O177" s="119"/>
      <c r="P177" s="119"/>
    </row>
    <row r="178" spans="13:16" ht="20.100000000000001" customHeight="1">
      <c r="M178" s="119"/>
      <c r="O178" s="119"/>
      <c r="P178" s="119"/>
    </row>
    <row r="179" spans="13:16" ht="20.100000000000001" customHeight="1">
      <c r="M179" s="119"/>
      <c r="O179" s="119"/>
      <c r="P179" s="119"/>
    </row>
    <row r="180" spans="13:16" ht="20.100000000000001" customHeight="1">
      <c r="M180" s="119"/>
      <c r="O180" s="119"/>
      <c r="P180" s="119"/>
    </row>
    <row r="181" spans="13:16" ht="20.100000000000001" customHeight="1">
      <c r="M181" s="119"/>
      <c r="O181" s="119"/>
      <c r="P181" s="119"/>
    </row>
    <row r="182" spans="13:16" ht="20.100000000000001" customHeight="1">
      <c r="M182" s="119"/>
      <c r="O182" s="119"/>
      <c r="P182" s="119"/>
    </row>
    <row r="183" spans="13:16" ht="20.100000000000001" customHeight="1">
      <c r="M183" s="119"/>
      <c r="O183" s="119"/>
      <c r="P183" s="119"/>
    </row>
    <row r="184" spans="13:16" ht="20.100000000000001" customHeight="1">
      <c r="M184" s="119"/>
      <c r="O184" s="119"/>
      <c r="P184" s="119"/>
    </row>
    <row r="185" spans="13:16" ht="20.100000000000001" customHeight="1">
      <c r="M185" s="119"/>
      <c r="O185" s="119"/>
      <c r="P185" s="119"/>
    </row>
    <row r="186" spans="13:16" ht="20.100000000000001" customHeight="1">
      <c r="M186" s="119"/>
      <c r="O186" s="119"/>
      <c r="P186" s="119"/>
    </row>
    <row r="187" spans="13:16" ht="20.100000000000001" customHeight="1">
      <c r="M187" s="119"/>
      <c r="O187" s="119"/>
      <c r="P187" s="119"/>
    </row>
    <row r="188" spans="13:16" ht="20.100000000000001" customHeight="1">
      <c r="M188" s="119"/>
      <c r="O188" s="119"/>
      <c r="P188" s="119"/>
    </row>
    <row r="189" spans="13:16" ht="20.100000000000001" customHeight="1">
      <c r="M189" s="119"/>
      <c r="O189" s="119"/>
      <c r="P189" s="119"/>
    </row>
    <row r="190" spans="13:16" ht="20.100000000000001" customHeight="1">
      <c r="M190" s="119"/>
      <c r="O190" s="119"/>
      <c r="P190" s="119"/>
    </row>
    <row r="191" spans="13:16" ht="20.100000000000001" customHeight="1">
      <c r="M191" s="119"/>
      <c r="O191" s="119"/>
      <c r="P191" s="119"/>
    </row>
    <row r="192" spans="13:16" ht="20.100000000000001" customHeight="1">
      <c r="M192" s="119"/>
      <c r="O192" s="119"/>
      <c r="P192" s="119"/>
    </row>
    <row r="193" spans="13:16" ht="20.100000000000001" customHeight="1">
      <c r="M193" s="119"/>
      <c r="O193" s="119"/>
      <c r="P193" s="119"/>
    </row>
    <row r="194" spans="13:16" ht="20.100000000000001" customHeight="1">
      <c r="M194" s="119"/>
      <c r="O194" s="119"/>
      <c r="P194" s="119"/>
    </row>
    <row r="195" spans="13:16" ht="20.100000000000001" customHeight="1">
      <c r="M195" s="119"/>
      <c r="O195" s="119"/>
      <c r="P195" s="119"/>
    </row>
    <row r="196" spans="13:16" ht="20.100000000000001" customHeight="1">
      <c r="M196" s="119"/>
      <c r="O196" s="119"/>
      <c r="P196" s="119"/>
    </row>
    <row r="197" spans="13:16" ht="20.100000000000001" customHeight="1">
      <c r="M197" s="119"/>
      <c r="O197" s="119"/>
      <c r="P197" s="119"/>
    </row>
    <row r="198" spans="13:16" ht="20.100000000000001" customHeight="1">
      <c r="M198" s="119"/>
      <c r="O198" s="119"/>
      <c r="P198" s="119"/>
    </row>
    <row r="199" spans="13:16" ht="20.100000000000001" customHeight="1">
      <c r="M199" s="119"/>
      <c r="O199" s="119"/>
      <c r="P199" s="119"/>
    </row>
    <row r="200" spans="13:16" ht="20.100000000000001" customHeight="1">
      <c r="M200" s="119"/>
      <c r="O200" s="119"/>
      <c r="P200" s="119"/>
    </row>
    <row r="201" spans="13:16" ht="20.100000000000001" customHeight="1">
      <c r="M201" s="119"/>
      <c r="O201" s="119"/>
      <c r="P201" s="119"/>
    </row>
    <row r="202" spans="13:16" ht="20.100000000000001" customHeight="1">
      <c r="M202" s="119"/>
      <c r="O202" s="119"/>
      <c r="P202" s="119"/>
    </row>
    <row r="203" spans="13:16" ht="20.100000000000001" customHeight="1">
      <c r="M203" s="119"/>
      <c r="O203" s="119"/>
      <c r="P203" s="119"/>
    </row>
    <row r="204" spans="13:16" ht="20.100000000000001" customHeight="1">
      <c r="M204" s="119"/>
      <c r="O204" s="119"/>
      <c r="P204" s="119"/>
    </row>
    <row r="205" spans="13:16" ht="20.100000000000001" customHeight="1">
      <c r="M205" s="119"/>
      <c r="O205" s="119"/>
      <c r="P205" s="119"/>
    </row>
    <row r="206" spans="13:16" ht="20.100000000000001" customHeight="1">
      <c r="M206" s="119"/>
      <c r="O206" s="119"/>
      <c r="P206" s="119"/>
    </row>
    <row r="207" spans="13:16" ht="20.100000000000001" customHeight="1">
      <c r="M207" s="119"/>
      <c r="O207" s="119"/>
      <c r="P207" s="119"/>
    </row>
    <row r="208" spans="13:16" ht="20.100000000000001" customHeight="1">
      <c r="M208" s="119"/>
      <c r="O208" s="119"/>
      <c r="P208" s="119"/>
    </row>
    <row r="209" spans="13:16" ht="20.100000000000001" customHeight="1">
      <c r="M209" s="119"/>
      <c r="O209" s="119"/>
      <c r="P209" s="119"/>
    </row>
    <row r="210" spans="13:16" ht="20.100000000000001" customHeight="1">
      <c r="M210" s="119"/>
      <c r="O210" s="119"/>
      <c r="P210" s="119"/>
    </row>
    <row r="211" spans="13:16" ht="20.100000000000001" customHeight="1">
      <c r="M211" s="119"/>
      <c r="O211" s="119"/>
      <c r="P211" s="119"/>
    </row>
    <row r="212" spans="13:16" ht="20.100000000000001" customHeight="1">
      <c r="M212" s="119"/>
      <c r="O212" s="119"/>
      <c r="P212" s="119"/>
    </row>
    <row r="213" spans="13:16" ht="20.100000000000001" customHeight="1">
      <c r="M213" s="119"/>
      <c r="O213" s="119"/>
      <c r="P213" s="119"/>
    </row>
    <row r="214" spans="13:16" ht="20.100000000000001" customHeight="1">
      <c r="M214" s="119"/>
      <c r="O214" s="119"/>
      <c r="P214" s="119"/>
    </row>
    <row r="215" spans="13:16" ht="20.100000000000001" customHeight="1">
      <c r="M215" s="119"/>
      <c r="O215" s="119"/>
      <c r="P215" s="119"/>
    </row>
    <row r="216" spans="13:16" ht="20.100000000000001" customHeight="1">
      <c r="M216" s="119"/>
      <c r="O216" s="119"/>
      <c r="P216" s="119"/>
    </row>
    <row r="217" spans="13:16" ht="20.100000000000001" customHeight="1">
      <c r="M217" s="119"/>
      <c r="O217" s="119"/>
      <c r="P217" s="119"/>
    </row>
    <row r="218" spans="13:16" ht="20.100000000000001" customHeight="1">
      <c r="M218" s="119"/>
      <c r="O218" s="119"/>
      <c r="P218" s="119"/>
    </row>
    <row r="219" spans="13:16" ht="20.100000000000001" customHeight="1">
      <c r="M219" s="119"/>
      <c r="O219" s="119"/>
      <c r="P219" s="119"/>
    </row>
    <row r="220" spans="13:16" ht="20.100000000000001" customHeight="1">
      <c r="M220" s="119"/>
      <c r="O220" s="119"/>
      <c r="P220" s="119"/>
    </row>
    <row r="221" spans="13:16" ht="20.100000000000001" customHeight="1">
      <c r="M221" s="119"/>
      <c r="O221" s="119"/>
      <c r="P221" s="119"/>
    </row>
    <row r="222" spans="13:16" ht="20.100000000000001" customHeight="1">
      <c r="M222" s="119"/>
      <c r="O222" s="119"/>
      <c r="P222" s="119"/>
    </row>
    <row r="223" spans="13:16" ht="20.100000000000001" customHeight="1">
      <c r="M223" s="119"/>
      <c r="O223" s="119"/>
      <c r="P223" s="119"/>
    </row>
    <row r="224" spans="13:16" ht="20.100000000000001" customHeight="1">
      <c r="M224" s="119"/>
      <c r="O224" s="119"/>
      <c r="P224" s="119"/>
    </row>
    <row r="225" spans="13:16" ht="20.100000000000001" customHeight="1">
      <c r="M225" s="119"/>
      <c r="O225" s="119"/>
      <c r="P225" s="119"/>
    </row>
    <row r="226" spans="13:16" ht="20.100000000000001" customHeight="1">
      <c r="M226" s="119"/>
      <c r="O226" s="119"/>
      <c r="P226" s="119"/>
    </row>
    <row r="227" spans="13:16" ht="20.100000000000001" customHeight="1">
      <c r="M227" s="119"/>
      <c r="O227" s="119"/>
      <c r="P227" s="119"/>
    </row>
    <row r="228" spans="13:16" ht="20.100000000000001" customHeight="1">
      <c r="M228" s="119"/>
      <c r="O228" s="119"/>
      <c r="P228" s="119"/>
    </row>
    <row r="229" spans="13:16" ht="20.100000000000001" customHeight="1">
      <c r="M229" s="119"/>
      <c r="O229" s="119"/>
      <c r="P229" s="119"/>
    </row>
    <row r="230" spans="13:16" ht="20.100000000000001" customHeight="1">
      <c r="M230" s="119"/>
      <c r="O230" s="119"/>
      <c r="P230" s="119"/>
    </row>
    <row r="231" spans="13:16" ht="20.100000000000001" customHeight="1">
      <c r="M231" s="119"/>
      <c r="O231" s="119"/>
      <c r="P231" s="119"/>
    </row>
    <row r="232" spans="13:16" ht="20.100000000000001" customHeight="1">
      <c r="M232" s="119"/>
      <c r="O232" s="119"/>
      <c r="P232" s="119"/>
    </row>
    <row r="233" spans="13:16" ht="20.100000000000001" customHeight="1">
      <c r="M233" s="119"/>
      <c r="O233" s="119"/>
      <c r="P233" s="119"/>
    </row>
    <row r="234" spans="13:16" ht="20.100000000000001" customHeight="1">
      <c r="M234" s="119"/>
      <c r="O234" s="119"/>
      <c r="P234" s="119"/>
    </row>
    <row r="235" spans="13:16" ht="20.100000000000001" customHeight="1">
      <c r="M235" s="119"/>
      <c r="O235" s="119"/>
      <c r="P235" s="119"/>
    </row>
    <row r="236" spans="13:16" ht="20.100000000000001" customHeight="1">
      <c r="M236" s="119"/>
      <c r="O236" s="119"/>
      <c r="P236" s="119"/>
    </row>
    <row r="237" spans="13:16" ht="20.100000000000001" customHeight="1">
      <c r="M237" s="119"/>
      <c r="O237" s="119"/>
      <c r="P237" s="119"/>
    </row>
    <row r="238" spans="13:16" ht="20.100000000000001" customHeight="1">
      <c r="M238" s="119"/>
      <c r="O238" s="119"/>
      <c r="P238" s="119"/>
    </row>
    <row r="239" spans="13:16" ht="20.100000000000001" customHeight="1">
      <c r="M239" s="119"/>
      <c r="O239" s="119"/>
      <c r="P239" s="119"/>
    </row>
    <row r="240" spans="13:16" ht="20.100000000000001" customHeight="1">
      <c r="M240" s="119"/>
      <c r="O240" s="119"/>
      <c r="P240" s="119"/>
    </row>
    <row r="241" spans="13:16" ht="20.100000000000001" customHeight="1">
      <c r="M241" s="119"/>
      <c r="O241" s="119"/>
      <c r="P241" s="119"/>
    </row>
    <row r="242" spans="13:16" ht="20.100000000000001" customHeight="1">
      <c r="M242" s="119"/>
      <c r="O242" s="119"/>
      <c r="P242" s="119"/>
    </row>
    <row r="243" spans="13:16" ht="20.100000000000001" customHeight="1">
      <c r="M243" s="119"/>
      <c r="O243" s="119"/>
      <c r="P243" s="119"/>
    </row>
    <row r="244" spans="13:16" ht="20.100000000000001" customHeight="1">
      <c r="M244" s="119"/>
      <c r="O244" s="119"/>
      <c r="P244" s="119"/>
    </row>
    <row r="245" spans="13:16" ht="20.100000000000001" customHeight="1">
      <c r="M245" s="119"/>
      <c r="O245" s="119"/>
      <c r="P245" s="119"/>
    </row>
    <row r="246" spans="13:16" ht="20.100000000000001" customHeight="1">
      <c r="M246" s="119"/>
      <c r="O246" s="119"/>
      <c r="P246" s="119"/>
    </row>
    <row r="247" spans="13:16" ht="20.100000000000001" customHeight="1">
      <c r="M247" s="119"/>
      <c r="O247" s="119"/>
      <c r="P247" s="119"/>
    </row>
    <row r="248" spans="13:16" ht="20.100000000000001" customHeight="1">
      <c r="M248" s="119"/>
      <c r="O248" s="119"/>
      <c r="P248" s="119"/>
    </row>
    <row r="249" spans="13:16" ht="20.100000000000001" customHeight="1">
      <c r="M249" s="119"/>
      <c r="O249" s="119"/>
      <c r="P249" s="119"/>
    </row>
    <row r="250" spans="13:16" ht="20.100000000000001" customHeight="1">
      <c r="M250" s="119"/>
      <c r="O250" s="119"/>
      <c r="P250" s="119"/>
    </row>
    <row r="251" spans="13:16" ht="20.100000000000001" customHeight="1">
      <c r="M251" s="119"/>
      <c r="O251" s="119"/>
      <c r="P251" s="119"/>
    </row>
    <row r="252" spans="13:16" ht="20.100000000000001" customHeight="1">
      <c r="M252" s="119"/>
      <c r="O252" s="119"/>
      <c r="P252" s="119"/>
    </row>
    <row r="253" spans="13:16" ht="20.100000000000001" customHeight="1">
      <c r="M253" s="119"/>
      <c r="O253" s="119"/>
      <c r="P253" s="119"/>
    </row>
    <row r="254" spans="13:16" ht="20.100000000000001" customHeight="1">
      <c r="M254" s="119"/>
      <c r="O254" s="119"/>
      <c r="P254" s="119"/>
    </row>
    <row r="255" spans="13:16" ht="20.100000000000001" customHeight="1">
      <c r="M255" s="119"/>
      <c r="O255" s="119"/>
      <c r="P255" s="119"/>
    </row>
    <row r="256" spans="13:16" ht="20.100000000000001" customHeight="1">
      <c r="M256" s="119"/>
      <c r="O256" s="119"/>
      <c r="P256" s="119"/>
    </row>
    <row r="257" spans="13:16" ht="20.100000000000001" customHeight="1">
      <c r="M257" s="119"/>
      <c r="O257" s="119"/>
      <c r="P257" s="119"/>
    </row>
    <row r="258" spans="13:16" ht="20.100000000000001" customHeight="1">
      <c r="M258" s="119"/>
      <c r="O258" s="119"/>
      <c r="P258" s="119"/>
    </row>
    <row r="259" spans="13:16" ht="20.100000000000001" customHeight="1">
      <c r="M259" s="119"/>
      <c r="O259" s="119"/>
      <c r="P259" s="119"/>
    </row>
    <row r="260" spans="13:16" ht="20.100000000000001" customHeight="1">
      <c r="M260" s="119"/>
      <c r="O260" s="119"/>
      <c r="P260" s="119"/>
    </row>
    <row r="261" spans="13:16" ht="20.100000000000001" customHeight="1">
      <c r="M261" s="119"/>
      <c r="O261" s="119"/>
      <c r="P261" s="119"/>
    </row>
    <row r="262" spans="13:16" ht="20.100000000000001" customHeight="1">
      <c r="M262" s="119"/>
      <c r="O262" s="119"/>
      <c r="P262" s="119"/>
    </row>
    <row r="263" spans="13:16" ht="20.100000000000001" customHeight="1">
      <c r="M263" s="119"/>
      <c r="O263" s="119"/>
      <c r="P263" s="119"/>
    </row>
    <row r="264" spans="13:16" ht="20.100000000000001" customHeight="1">
      <c r="M264" s="119"/>
      <c r="O264" s="119"/>
      <c r="P264" s="119"/>
    </row>
    <row r="265" spans="13:16" ht="20.100000000000001" customHeight="1">
      <c r="M265" s="119"/>
      <c r="O265" s="119"/>
      <c r="P265" s="119"/>
    </row>
    <row r="266" spans="13:16" ht="20.100000000000001" customHeight="1">
      <c r="M266" s="119"/>
      <c r="O266" s="119"/>
      <c r="P266" s="119"/>
    </row>
    <row r="267" spans="13:16" ht="20.100000000000001" customHeight="1">
      <c r="M267" s="119"/>
      <c r="O267" s="119"/>
      <c r="P267" s="119"/>
    </row>
    <row r="268" spans="13:16" ht="20.100000000000001" customHeight="1">
      <c r="M268" s="119"/>
      <c r="O268" s="119"/>
      <c r="P268" s="119"/>
    </row>
    <row r="269" spans="13:16" ht="20.100000000000001" customHeight="1">
      <c r="M269" s="119"/>
      <c r="O269" s="119"/>
      <c r="P269" s="119"/>
    </row>
    <row r="270" spans="13:16" ht="20.100000000000001" customHeight="1">
      <c r="M270" s="119"/>
      <c r="O270" s="119"/>
      <c r="P270" s="119"/>
    </row>
    <row r="271" spans="13:16" ht="20.100000000000001" customHeight="1">
      <c r="M271" s="119"/>
      <c r="O271" s="119"/>
      <c r="P271" s="119"/>
    </row>
    <row r="272" spans="13:16" ht="20.100000000000001" customHeight="1">
      <c r="M272" s="119"/>
      <c r="O272" s="119"/>
      <c r="P272" s="119"/>
    </row>
    <row r="273" spans="13:16" ht="20.100000000000001" customHeight="1">
      <c r="M273" s="119"/>
      <c r="O273" s="119"/>
      <c r="P273" s="119"/>
    </row>
    <row r="274" spans="13:16" ht="20.100000000000001" customHeight="1">
      <c r="M274" s="119"/>
      <c r="O274" s="119"/>
      <c r="P274" s="119"/>
    </row>
    <row r="275" spans="13:16" ht="20.100000000000001" customHeight="1">
      <c r="M275" s="119"/>
      <c r="O275" s="119"/>
      <c r="P275" s="119"/>
    </row>
    <row r="276" spans="13:16" ht="20.100000000000001" customHeight="1">
      <c r="M276" s="119"/>
      <c r="O276" s="119"/>
      <c r="P276" s="119"/>
    </row>
    <row r="277" spans="13:16" ht="20.100000000000001" customHeight="1">
      <c r="M277" s="119"/>
      <c r="O277" s="119"/>
      <c r="P277" s="119"/>
    </row>
    <row r="278" spans="13:16" ht="20.100000000000001" customHeight="1">
      <c r="M278" s="119"/>
      <c r="O278" s="119"/>
      <c r="P278" s="119"/>
    </row>
    <row r="279" spans="13:16" ht="20.100000000000001" customHeight="1">
      <c r="M279" s="119"/>
      <c r="O279" s="119"/>
      <c r="P279" s="119"/>
    </row>
    <row r="280" spans="13:16" ht="20.100000000000001" customHeight="1">
      <c r="M280" s="119"/>
      <c r="O280" s="119"/>
      <c r="P280" s="119"/>
    </row>
    <row r="281" spans="13:16" ht="20.100000000000001" customHeight="1">
      <c r="M281" s="119"/>
      <c r="O281" s="119"/>
      <c r="P281" s="119"/>
    </row>
    <row r="282" spans="13:16" ht="20.100000000000001" customHeight="1">
      <c r="M282" s="119"/>
      <c r="O282" s="119"/>
      <c r="P282" s="119"/>
    </row>
    <row r="283" spans="13:16" ht="20.100000000000001" customHeight="1">
      <c r="M283" s="119"/>
      <c r="O283" s="119"/>
      <c r="P283" s="119"/>
    </row>
    <row r="284" spans="13:16" ht="20.100000000000001" customHeight="1">
      <c r="M284" s="119"/>
      <c r="O284" s="119"/>
      <c r="P284" s="119"/>
    </row>
    <row r="285" spans="13:16" ht="20.100000000000001" customHeight="1">
      <c r="M285" s="119"/>
      <c r="O285" s="119"/>
      <c r="P285" s="119"/>
    </row>
    <row r="286" spans="13:16" ht="20.100000000000001" customHeight="1">
      <c r="M286" s="119"/>
      <c r="O286" s="119"/>
      <c r="P286" s="119"/>
    </row>
    <row r="287" spans="13:16" ht="20.100000000000001" customHeight="1">
      <c r="M287" s="119"/>
      <c r="O287" s="119"/>
      <c r="P287" s="119"/>
    </row>
    <row r="288" spans="13:16" ht="20.100000000000001" customHeight="1">
      <c r="M288" s="119"/>
      <c r="O288" s="119"/>
      <c r="P288" s="119"/>
    </row>
    <row r="289" spans="13:16" ht="20.100000000000001" customHeight="1">
      <c r="M289" s="119"/>
      <c r="O289" s="119"/>
      <c r="P289" s="119"/>
    </row>
    <row r="290" spans="13:16" ht="20.100000000000001" customHeight="1">
      <c r="M290" s="119"/>
      <c r="O290" s="119"/>
      <c r="P290" s="119"/>
    </row>
    <row r="291" spans="13:16" ht="20.100000000000001" customHeight="1">
      <c r="M291" s="119"/>
      <c r="O291" s="119"/>
      <c r="P291" s="119"/>
    </row>
    <row r="292" spans="13:16" ht="20.100000000000001" customHeight="1">
      <c r="M292" s="119"/>
      <c r="O292" s="119"/>
      <c r="P292" s="119"/>
    </row>
    <row r="293" spans="13:16" ht="20.100000000000001" customHeight="1">
      <c r="M293" s="119"/>
      <c r="O293" s="119"/>
      <c r="P293" s="119"/>
    </row>
    <row r="294" spans="13:16" ht="20.100000000000001" customHeight="1">
      <c r="M294" s="119"/>
      <c r="O294" s="119"/>
      <c r="P294" s="119"/>
    </row>
    <row r="295" spans="13:16" ht="20.100000000000001" customHeight="1">
      <c r="M295" s="119"/>
      <c r="O295" s="119"/>
      <c r="P295" s="119"/>
    </row>
    <row r="296" spans="13:16" ht="20.100000000000001" customHeight="1">
      <c r="M296" s="119"/>
      <c r="O296" s="119"/>
      <c r="P296" s="119"/>
    </row>
    <row r="297" spans="13:16" ht="20.100000000000001" customHeight="1">
      <c r="M297" s="119"/>
      <c r="O297" s="119"/>
      <c r="P297" s="119"/>
    </row>
    <row r="298" spans="13:16" ht="20.100000000000001" customHeight="1">
      <c r="M298" s="119"/>
      <c r="O298" s="119"/>
      <c r="P298" s="119"/>
    </row>
    <row r="299" spans="13:16" ht="20.100000000000001" customHeight="1">
      <c r="M299" s="119"/>
      <c r="O299" s="119"/>
      <c r="P299" s="119"/>
    </row>
    <row r="300" spans="13:16" ht="20.100000000000001" customHeight="1">
      <c r="M300" s="119"/>
      <c r="O300" s="119"/>
      <c r="P300" s="119"/>
    </row>
    <row r="301" spans="13:16" ht="20.100000000000001" customHeight="1">
      <c r="M301" s="119"/>
      <c r="O301" s="119"/>
      <c r="P301" s="119"/>
    </row>
    <row r="302" spans="13:16" ht="20.100000000000001" customHeight="1">
      <c r="M302" s="119"/>
      <c r="O302" s="119"/>
      <c r="P302" s="119"/>
    </row>
    <row r="303" spans="13:16" ht="20.100000000000001" customHeight="1">
      <c r="M303" s="119"/>
      <c r="O303" s="119"/>
      <c r="P303" s="119"/>
    </row>
    <row r="304" spans="13:16" ht="20.100000000000001" customHeight="1">
      <c r="M304" s="119"/>
      <c r="O304" s="119"/>
      <c r="P304" s="119"/>
    </row>
    <row r="305" spans="13:16" ht="20.100000000000001" customHeight="1">
      <c r="M305" s="119"/>
      <c r="O305" s="119"/>
      <c r="P305" s="119"/>
    </row>
    <row r="306" spans="13:16" ht="20.100000000000001" customHeight="1">
      <c r="M306" s="119"/>
      <c r="O306" s="119"/>
      <c r="P306" s="119"/>
    </row>
    <row r="307" spans="13:16" ht="20.100000000000001" customHeight="1">
      <c r="M307" s="119"/>
      <c r="O307" s="119"/>
      <c r="P307" s="119"/>
    </row>
    <row r="308" spans="13:16" ht="20.100000000000001" customHeight="1">
      <c r="M308" s="119"/>
      <c r="O308" s="119"/>
      <c r="P308" s="119"/>
    </row>
    <row r="309" spans="13:16" ht="20.100000000000001" customHeight="1">
      <c r="M309" s="119"/>
      <c r="O309" s="119"/>
      <c r="P309" s="119"/>
    </row>
    <row r="310" spans="13:16" ht="20.100000000000001" customHeight="1">
      <c r="M310" s="119"/>
      <c r="O310" s="119"/>
      <c r="P310" s="119"/>
    </row>
    <row r="311" spans="13:16" ht="20.100000000000001" customHeight="1">
      <c r="M311" s="119"/>
      <c r="O311" s="119"/>
      <c r="P311" s="119"/>
    </row>
    <row r="312" spans="13:16" ht="20.100000000000001" customHeight="1">
      <c r="M312" s="119"/>
      <c r="O312" s="119"/>
      <c r="P312" s="119"/>
    </row>
    <row r="313" spans="13:16" ht="20.100000000000001" customHeight="1">
      <c r="M313" s="119"/>
      <c r="O313" s="119"/>
      <c r="P313" s="119"/>
    </row>
    <row r="314" spans="13:16" ht="20.100000000000001" customHeight="1">
      <c r="M314" s="119"/>
      <c r="O314" s="119"/>
      <c r="P314" s="119"/>
    </row>
    <row r="315" spans="13:16" ht="20.100000000000001" customHeight="1">
      <c r="M315" s="119"/>
      <c r="O315" s="119"/>
      <c r="P315" s="119"/>
    </row>
    <row r="316" spans="13:16" ht="20.100000000000001" customHeight="1">
      <c r="M316" s="119"/>
      <c r="O316" s="119"/>
      <c r="P316" s="119"/>
    </row>
    <row r="317" spans="13:16" ht="20.100000000000001" customHeight="1">
      <c r="M317" s="119"/>
      <c r="O317" s="119"/>
      <c r="P317" s="119"/>
    </row>
    <row r="318" spans="13:16" ht="20.100000000000001" customHeight="1">
      <c r="M318" s="119"/>
      <c r="O318" s="119"/>
      <c r="P318" s="119"/>
    </row>
    <row r="319" spans="13:16" ht="20.100000000000001" customHeight="1">
      <c r="M319" s="119"/>
      <c r="O319" s="119"/>
      <c r="P319" s="119"/>
    </row>
    <row r="320" spans="13:16" ht="20.100000000000001" customHeight="1">
      <c r="M320" s="119"/>
      <c r="O320" s="119"/>
      <c r="P320" s="119"/>
    </row>
    <row r="321" spans="13:16" ht="20.100000000000001" customHeight="1">
      <c r="M321" s="119"/>
      <c r="O321" s="119"/>
      <c r="P321" s="119"/>
    </row>
    <row r="322" spans="13:16" ht="20.100000000000001" customHeight="1">
      <c r="M322" s="119"/>
      <c r="O322" s="119"/>
      <c r="P322" s="119"/>
    </row>
    <row r="323" spans="13:16" ht="20.100000000000001" customHeight="1">
      <c r="M323" s="119"/>
      <c r="O323" s="119"/>
      <c r="P323" s="119"/>
    </row>
    <row r="324" spans="13:16" ht="20.100000000000001" customHeight="1">
      <c r="M324" s="119"/>
      <c r="O324" s="119"/>
      <c r="P324" s="119"/>
    </row>
    <row r="325" spans="13:16" ht="20.100000000000001" customHeight="1">
      <c r="M325" s="119"/>
      <c r="O325" s="119"/>
      <c r="P325" s="119"/>
    </row>
    <row r="326" spans="13:16" ht="20.100000000000001" customHeight="1">
      <c r="M326" s="119"/>
      <c r="O326" s="119"/>
      <c r="P326" s="119"/>
    </row>
    <row r="327" spans="13:16" ht="20.100000000000001" customHeight="1">
      <c r="M327" s="119"/>
      <c r="O327" s="119"/>
      <c r="P327" s="119"/>
    </row>
    <row r="328" spans="13:16" ht="20.100000000000001" customHeight="1">
      <c r="M328" s="119"/>
      <c r="O328" s="119"/>
      <c r="P328" s="119"/>
    </row>
    <row r="329" spans="13:16" ht="20.100000000000001" customHeight="1">
      <c r="M329" s="119"/>
      <c r="O329" s="119"/>
      <c r="P329" s="119"/>
    </row>
    <row r="330" spans="13:16" ht="20.100000000000001" customHeight="1">
      <c r="M330" s="119"/>
      <c r="O330" s="119"/>
      <c r="P330" s="119"/>
    </row>
    <row r="331" spans="13:16" ht="20.100000000000001" customHeight="1">
      <c r="M331" s="119"/>
      <c r="O331" s="119"/>
      <c r="P331" s="119"/>
    </row>
    <row r="332" spans="13:16" ht="20.100000000000001" customHeight="1">
      <c r="M332" s="119"/>
      <c r="O332" s="119"/>
      <c r="P332" s="119"/>
    </row>
    <row r="333" spans="13:16" ht="20.100000000000001" customHeight="1">
      <c r="M333" s="119"/>
      <c r="O333" s="119"/>
      <c r="P333" s="119"/>
    </row>
    <row r="334" spans="13:16" ht="20.100000000000001" customHeight="1">
      <c r="M334" s="119"/>
      <c r="O334" s="119"/>
      <c r="P334" s="119"/>
    </row>
    <row r="335" spans="13:16" ht="20.100000000000001" customHeight="1">
      <c r="M335" s="119"/>
      <c r="O335" s="119"/>
      <c r="P335" s="119"/>
    </row>
    <row r="336" spans="13:16" ht="20.100000000000001" customHeight="1">
      <c r="M336" s="119"/>
      <c r="O336" s="119"/>
      <c r="P336" s="119"/>
    </row>
    <row r="337" spans="13:16" ht="20.100000000000001" customHeight="1">
      <c r="M337" s="119"/>
      <c r="O337" s="119"/>
      <c r="P337" s="119"/>
    </row>
    <row r="338" spans="13:16" ht="20.100000000000001" customHeight="1">
      <c r="M338" s="119"/>
      <c r="O338" s="119"/>
      <c r="P338" s="119"/>
    </row>
    <row r="339" spans="13:16" ht="20.100000000000001" customHeight="1">
      <c r="M339" s="119"/>
      <c r="O339" s="119"/>
      <c r="P339" s="119"/>
    </row>
    <row r="340" spans="13:16" ht="20.100000000000001" customHeight="1">
      <c r="M340" s="119"/>
      <c r="O340" s="119"/>
      <c r="P340" s="119"/>
    </row>
    <row r="341" spans="13:16" ht="20.100000000000001" customHeight="1">
      <c r="M341" s="119"/>
      <c r="O341" s="119"/>
      <c r="P341" s="119"/>
    </row>
    <row r="342" spans="13:16" ht="20.100000000000001" customHeight="1">
      <c r="M342" s="119"/>
      <c r="O342" s="119"/>
      <c r="P342" s="119"/>
    </row>
    <row r="343" spans="13:16" ht="20.100000000000001" customHeight="1">
      <c r="M343" s="119"/>
      <c r="O343" s="119"/>
      <c r="P343" s="119"/>
    </row>
    <row r="344" spans="13:16" ht="20.100000000000001" customHeight="1">
      <c r="M344" s="119"/>
      <c r="O344" s="119"/>
      <c r="P344" s="119"/>
    </row>
    <row r="345" spans="13:16" ht="20.100000000000001" customHeight="1">
      <c r="M345" s="119"/>
      <c r="O345" s="119"/>
      <c r="P345" s="119"/>
    </row>
    <row r="346" spans="13:16" ht="20.100000000000001" customHeight="1">
      <c r="M346" s="119"/>
      <c r="O346" s="119"/>
      <c r="P346" s="119"/>
    </row>
    <row r="347" spans="13:16" ht="20.100000000000001" customHeight="1">
      <c r="M347" s="119"/>
      <c r="O347" s="119"/>
      <c r="P347" s="119"/>
    </row>
    <row r="348" spans="13:16" ht="20.100000000000001" customHeight="1">
      <c r="M348" s="119"/>
      <c r="O348" s="119"/>
      <c r="P348" s="119"/>
    </row>
    <row r="349" spans="13:16" ht="20.100000000000001" customHeight="1">
      <c r="M349" s="119"/>
      <c r="O349" s="119"/>
      <c r="P349" s="119"/>
    </row>
    <row r="350" spans="13:16" ht="20.100000000000001" customHeight="1">
      <c r="M350" s="119"/>
      <c r="O350" s="119"/>
      <c r="P350" s="119"/>
    </row>
    <row r="351" spans="13:16" ht="20.100000000000001" customHeight="1">
      <c r="M351" s="119"/>
      <c r="O351" s="119"/>
      <c r="P351" s="119"/>
    </row>
    <row r="352" spans="13:16" ht="20.100000000000001" customHeight="1">
      <c r="M352" s="119"/>
      <c r="O352" s="119"/>
      <c r="P352" s="119"/>
    </row>
    <row r="353" spans="13:16" ht="20.100000000000001" customHeight="1">
      <c r="M353" s="119"/>
      <c r="O353" s="119"/>
      <c r="P353" s="119"/>
    </row>
    <row r="354" spans="13:16" ht="20.100000000000001" customHeight="1">
      <c r="M354" s="119"/>
      <c r="O354" s="119"/>
      <c r="P354" s="119"/>
    </row>
    <row r="355" spans="13:16" ht="20.100000000000001" customHeight="1">
      <c r="M355" s="119"/>
      <c r="O355" s="119"/>
      <c r="P355" s="119"/>
    </row>
    <row r="356" spans="13:16" ht="20.100000000000001" customHeight="1">
      <c r="M356" s="119"/>
      <c r="O356" s="119"/>
      <c r="P356" s="119"/>
    </row>
    <row r="357" spans="13:16" ht="20.100000000000001" customHeight="1">
      <c r="M357" s="119"/>
      <c r="O357" s="119"/>
      <c r="P357" s="119"/>
    </row>
    <row r="358" spans="13:16" ht="20.100000000000001" customHeight="1">
      <c r="M358" s="119"/>
      <c r="O358" s="119"/>
      <c r="P358" s="119"/>
    </row>
    <row r="359" spans="13:16" ht="20.100000000000001" customHeight="1">
      <c r="M359" s="119"/>
      <c r="O359" s="119"/>
      <c r="P359" s="119"/>
    </row>
    <row r="360" spans="13:16" ht="20.100000000000001" customHeight="1">
      <c r="M360" s="119"/>
      <c r="O360" s="119"/>
      <c r="P360" s="119"/>
    </row>
    <row r="361" spans="13:16" ht="20.100000000000001" customHeight="1">
      <c r="M361" s="119"/>
      <c r="O361" s="119"/>
      <c r="P361" s="119"/>
    </row>
    <row r="362" spans="13:16" ht="20.100000000000001" customHeight="1">
      <c r="M362" s="119"/>
      <c r="O362" s="119"/>
      <c r="P362" s="119"/>
    </row>
    <row r="363" spans="13:16" ht="20.100000000000001" customHeight="1">
      <c r="M363" s="119"/>
      <c r="O363" s="119"/>
      <c r="P363" s="119"/>
    </row>
    <row r="364" spans="13:16" ht="20.100000000000001" customHeight="1">
      <c r="M364" s="119"/>
      <c r="O364" s="119"/>
      <c r="P364" s="119"/>
    </row>
    <row r="365" spans="13:16" ht="20.100000000000001" customHeight="1">
      <c r="M365" s="119"/>
      <c r="O365" s="119"/>
      <c r="P365" s="119"/>
    </row>
    <row r="366" spans="13:16" ht="20.100000000000001" customHeight="1">
      <c r="M366" s="119"/>
      <c r="O366" s="119"/>
      <c r="P366" s="119"/>
    </row>
    <row r="367" spans="13:16" ht="20.100000000000001" customHeight="1">
      <c r="M367" s="119"/>
      <c r="O367" s="119"/>
      <c r="P367" s="119"/>
    </row>
    <row r="368" spans="13:16" ht="20.100000000000001" customHeight="1">
      <c r="M368" s="119"/>
      <c r="O368" s="119"/>
      <c r="P368" s="119"/>
    </row>
    <row r="369" spans="13:16" ht="20.100000000000001" customHeight="1">
      <c r="M369" s="119"/>
      <c r="O369" s="119"/>
      <c r="P369" s="119"/>
    </row>
    <row r="370" spans="13:16" ht="20.100000000000001" customHeight="1">
      <c r="M370" s="119"/>
      <c r="O370" s="119"/>
      <c r="P370" s="119"/>
    </row>
    <row r="371" spans="13:16" ht="20.100000000000001" customHeight="1">
      <c r="M371" s="119"/>
      <c r="O371" s="119"/>
      <c r="P371" s="119"/>
    </row>
    <row r="372" spans="13:16" ht="20.100000000000001" customHeight="1">
      <c r="M372" s="119"/>
      <c r="O372" s="119"/>
      <c r="P372" s="119"/>
    </row>
    <row r="373" spans="13:16" ht="20.100000000000001" customHeight="1">
      <c r="M373" s="119"/>
      <c r="O373" s="119"/>
      <c r="P373" s="119"/>
    </row>
    <row r="374" spans="13:16" ht="20.100000000000001" customHeight="1">
      <c r="M374" s="119"/>
      <c r="O374" s="119"/>
      <c r="P374" s="119"/>
    </row>
    <row r="375" spans="13:16" ht="20.100000000000001" customHeight="1">
      <c r="M375" s="119"/>
      <c r="O375" s="119"/>
      <c r="P375" s="119"/>
    </row>
    <row r="376" spans="13:16" ht="20.100000000000001" customHeight="1">
      <c r="M376" s="119"/>
      <c r="O376" s="119"/>
      <c r="P376" s="119"/>
    </row>
    <row r="377" spans="13:16" ht="20.100000000000001" customHeight="1">
      <c r="M377" s="119"/>
      <c r="O377" s="119"/>
      <c r="P377" s="119"/>
    </row>
    <row r="378" spans="13:16" ht="20.100000000000001" customHeight="1">
      <c r="M378" s="119"/>
      <c r="O378" s="119"/>
      <c r="P378" s="119"/>
    </row>
    <row r="379" spans="13:16" ht="20.100000000000001" customHeight="1">
      <c r="M379" s="119"/>
      <c r="O379" s="119"/>
      <c r="P379" s="119"/>
    </row>
    <row r="380" spans="13:16" ht="20.100000000000001" customHeight="1">
      <c r="M380" s="119"/>
      <c r="O380" s="119"/>
      <c r="P380" s="119"/>
    </row>
    <row r="381" spans="13:16" ht="20.100000000000001" customHeight="1">
      <c r="M381" s="119"/>
      <c r="O381" s="119"/>
      <c r="P381" s="119"/>
    </row>
    <row r="382" spans="13:16" ht="20.100000000000001" customHeight="1">
      <c r="M382" s="119"/>
      <c r="O382" s="119"/>
      <c r="P382" s="119"/>
    </row>
    <row r="383" spans="13:16" ht="20.100000000000001" customHeight="1">
      <c r="M383" s="119"/>
      <c r="O383" s="119"/>
      <c r="P383" s="119"/>
    </row>
    <row r="384" spans="13:16" ht="20.100000000000001" customHeight="1">
      <c r="M384" s="119"/>
      <c r="O384" s="119"/>
      <c r="P384" s="119"/>
    </row>
    <row r="385" spans="13:16" ht="20.100000000000001" customHeight="1">
      <c r="M385" s="119"/>
      <c r="O385" s="119"/>
      <c r="P385" s="119"/>
    </row>
    <row r="386" spans="13:16" ht="20.100000000000001" customHeight="1">
      <c r="M386" s="119"/>
      <c r="O386" s="119"/>
      <c r="P386" s="119"/>
    </row>
    <row r="387" spans="13:16" ht="20.100000000000001" customHeight="1">
      <c r="M387" s="119"/>
      <c r="O387" s="119"/>
      <c r="P387" s="119"/>
    </row>
    <row r="388" spans="13:16" ht="20.100000000000001" customHeight="1">
      <c r="M388" s="119"/>
      <c r="O388" s="119"/>
      <c r="P388" s="119"/>
    </row>
    <row r="389" spans="13:16" ht="20.100000000000001" customHeight="1">
      <c r="M389" s="119"/>
      <c r="O389" s="119"/>
      <c r="P389" s="119"/>
    </row>
    <row r="390" spans="13:16" ht="20.100000000000001" customHeight="1">
      <c r="M390" s="119"/>
      <c r="O390" s="119"/>
      <c r="P390" s="119"/>
    </row>
    <row r="391" spans="13:16" ht="20.100000000000001" customHeight="1">
      <c r="M391" s="119"/>
      <c r="O391" s="119"/>
      <c r="P391" s="119"/>
    </row>
    <row r="392" spans="13:16" ht="20.100000000000001" customHeight="1">
      <c r="M392" s="119"/>
      <c r="O392" s="119"/>
      <c r="P392" s="119"/>
    </row>
    <row r="393" spans="13:16" ht="20.100000000000001" customHeight="1">
      <c r="M393" s="119"/>
      <c r="O393" s="119"/>
      <c r="P393" s="119"/>
    </row>
    <row r="394" spans="13:16" ht="20.100000000000001" customHeight="1">
      <c r="M394" s="119"/>
      <c r="O394" s="119"/>
      <c r="P394" s="119"/>
    </row>
    <row r="395" spans="13:16" ht="20.100000000000001" customHeight="1">
      <c r="M395" s="119"/>
      <c r="O395" s="119"/>
      <c r="P395" s="119"/>
    </row>
    <row r="396" spans="13:16" ht="20.100000000000001" customHeight="1">
      <c r="M396" s="119"/>
      <c r="O396" s="119"/>
      <c r="P396" s="119"/>
    </row>
    <row r="397" spans="13:16" ht="20.100000000000001" customHeight="1">
      <c r="M397" s="119"/>
      <c r="O397" s="119"/>
      <c r="P397" s="119"/>
    </row>
    <row r="398" spans="13:16" ht="20.100000000000001" customHeight="1">
      <c r="M398" s="119"/>
      <c r="O398" s="119"/>
      <c r="P398" s="119"/>
    </row>
    <row r="399" spans="13:16" ht="20.100000000000001" customHeight="1">
      <c r="M399" s="119"/>
      <c r="O399" s="119"/>
      <c r="P399" s="119"/>
    </row>
    <row r="400" spans="13:16" ht="20.100000000000001" customHeight="1">
      <c r="M400" s="119"/>
      <c r="O400" s="119"/>
      <c r="P400" s="119"/>
    </row>
    <row r="401" spans="13:16" ht="20.100000000000001" customHeight="1">
      <c r="M401" s="119"/>
      <c r="O401" s="119"/>
      <c r="P401" s="119"/>
    </row>
    <row r="402" spans="13:16" ht="20.100000000000001" customHeight="1">
      <c r="M402" s="119"/>
      <c r="O402" s="119"/>
      <c r="P402" s="119"/>
    </row>
    <row r="403" spans="13:16" ht="20.100000000000001" customHeight="1">
      <c r="M403" s="119"/>
      <c r="O403" s="119"/>
      <c r="P403" s="119"/>
    </row>
    <row r="404" spans="13:16" ht="20.100000000000001" customHeight="1">
      <c r="M404" s="119"/>
      <c r="O404" s="119"/>
      <c r="P404" s="119"/>
    </row>
    <row r="405" spans="13:16" ht="20.100000000000001" customHeight="1">
      <c r="M405" s="119"/>
      <c r="O405" s="119"/>
      <c r="P405" s="119"/>
    </row>
    <row r="406" spans="13:16" ht="20.100000000000001" customHeight="1">
      <c r="M406" s="119"/>
      <c r="O406" s="119"/>
      <c r="P406" s="119"/>
    </row>
    <row r="407" spans="13:16" ht="20.100000000000001" customHeight="1">
      <c r="M407" s="119"/>
      <c r="O407" s="119"/>
      <c r="P407" s="119"/>
    </row>
    <row r="408" spans="13:16" ht="20.100000000000001" customHeight="1">
      <c r="M408" s="119"/>
      <c r="O408" s="119"/>
      <c r="P408" s="119"/>
    </row>
    <row r="409" spans="13:16" ht="20.100000000000001" customHeight="1">
      <c r="M409" s="119"/>
      <c r="O409" s="119"/>
      <c r="P409" s="119"/>
    </row>
    <row r="410" spans="13:16" ht="20.100000000000001" customHeight="1">
      <c r="M410" s="119"/>
      <c r="O410" s="119"/>
      <c r="P410" s="119"/>
    </row>
    <row r="411" spans="13:16" ht="20.100000000000001" customHeight="1">
      <c r="M411" s="119"/>
      <c r="O411" s="119"/>
      <c r="P411" s="119"/>
    </row>
    <row r="412" spans="13:16" ht="20.100000000000001" customHeight="1">
      <c r="M412" s="119"/>
      <c r="O412" s="119"/>
      <c r="P412" s="119"/>
    </row>
    <row r="413" spans="13:16" ht="20.100000000000001" customHeight="1">
      <c r="M413" s="119"/>
      <c r="O413" s="119"/>
      <c r="P413" s="119"/>
    </row>
    <row r="414" spans="13:16" ht="20.100000000000001" customHeight="1">
      <c r="M414" s="119"/>
      <c r="O414" s="119"/>
      <c r="P414" s="119"/>
    </row>
    <row r="415" spans="13:16" ht="20.100000000000001" customHeight="1">
      <c r="M415" s="119"/>
      <c r="O415" s="119"/>
      <c r="P415" s="119"/>
    </row>
    <row r="416" spans="13:16" ht="20.100000000000001" customHeight="1">
      <c r="M416" s="119"/>
      <c r="O416" s="119"/>
      <c r="P416" s="119"/>
    </row>
    <row r="417" spans="13:16" ht="20.100000000000001" customHeight="1">
      <c r="M417" s="119"/>
      <c r="O417" s="119"/>
      <c r="P417" s="119"/>
    </row>
    <row r="418" spans="13:16" ht="20.100000000000001" customHeight="1">
      <c r="M418" s="119"/>
      <c r="O418" s="119"/>
      <c r="P418" s="119"/>
    </row>
    <row r="419" spans="13:16" ht="20.100000000000001" customHeight="1">
      <c r="M419" s="119"/>
      <c r="O419" s="119"/>
      <c r="P419" s="119"/>
    </row>
    <row r="420" spans="13:16" ht="20.100000000000001" customHeight="1">
      <c r="M420" s="119"/>
      <c r="O420" s="119"/>
      <c r="P420" s="119"/>
    </row>
    <row r="421" spans="13:16" ht="20.100000000000001" customHeight="1">
      <c r="M421" s="119"/>
      <c r="O421" s="119"/>
      <c r="P421" s="119"/>
    </row>
    <row r="422" spans="13:16" ht="20.100000000000001" customHeight="1">
      <c r="M422" s="119"/>
      <c r="O422" s="119"/>
      <c r="P422" s="119"/>
    </row>
    <row r="423" spans="13:16" ht="20.100000000000001" customHeight="1">
      <c r="M423" s="119"/>
      <c r="O423" s="119"/>
      <c r="P423" s="119"/>
    </row>
    <row r="424" spans="13:16" ht="20.100000000000001" customHeight="1">
      <c r="M424" s="119"/>
      <c r="O424" s="119"/>
      <c r="P424" s="119"/>
    </row>
    <row r="425" spans="13:16" ht="20.100000000000001" customHeight="1">
      <c r="M425" s="119"/>
      <c r="O425" s="119"/>
      <c r="P425" s="119"/>
    </row>
    <row r="426" spans="13:16" ht="20.100000000000001" customHeight="1">
      <c r="M426" s="119"/>
      <c r="O426" s="119"/>
      <c r="P426" s="119"/>
    </row>
    <row r="427" spans="13:16" ht="20.100000000000001" customHeight="1">
      <c r="M427" s="119"/>
      <c r="O427" s="119"/>
      <c r="P427" s="119"/>
    </row>
    <row r="428" spans="13:16" ht="20.100000000000001" customHeight="1">
      <c r="M428" s="119"/>
      <c r="O428" s="119"/>
      <c r="P428" s="119"/>
    </row>
    <row r="429" spans="13:16" ht="20.100000000000001" customHeight="1">
      <c r="M429" s="119"/>
      <c r="O429" s="119"/>
      <c r="P429" s="119"/>
    </row>
    <row r="430" spans="13:16" ht="20.100000000000001" customHeight="1">
      <c r="M430" s="119"/>
      <c r="O430" s="119"/>
      <c r="P430" s="119"/>
    </row>
    <row r="431" spans="13:16" ht="20.100000000000001" customHeight="1">
      <c r="M431" s="119"/>
      <c r="O431" s="119"/>
      <c r="P431" s="119"/>
    </row>
    <row r="432" spans="13:16" ht="20.100000000000001" customHeight="1">
      <c r="M432" s="119"/>
      <c r="O432" s="119"/>
      <c r="P432" s="119"/>
    </row>
    <row r="433" spans="13:16" ht="20.100000000000001" customHeight="1">
      <c r="M433" s="119"/>
      <c r="O433" s="119"/>
      <c r="P433" s="119"/>
    </row>
    <row r="434" spans="13:16" ht="20.100000000000001" customHeight="1">
      <c r="M434" s="119"/>
      <c r="O434" s="119"/>
      <c r="P434" s="119"/>
    </row>
    <row r="435" spans="13:16" ht="20.100000000000001" customHeight="1">
      <c r="M435" s="119"/>
      <c r="O435" s="119"/>
      <c r="P435" s="119"/>
    </row>
    <row r="436" spans="13:16" ht="20.100000000000001" customHeight="1">
      <c r="M436" s="119"/>
      <c r="O436" s="119"/>
      <c r="P436" s="119"/>
    </row>
    <row r="437" spans="13:16" ht="20.100000000000001" customHeight="1">
      <c r="M437" s="119"/>
      <c r="O437" s="119"/>
      <c r="P437" s="119"/>
    </row>
    <row r="438" spans="13:16" ht="20.100000000000001" customHeight="1">
      <c r="M438" s="119"/>
      <c r="O438" s="119"/>
      <c r="P438" s="119"/>
    </row>
    <row r="439" spans="13:16" ht="20.100000000000001" customHeight="1">
      <c r="M439" s="119"/>
      <c r="O439" s="119"/>
      <c r="P439" s="119"/>
    </row>
    <row r="440" spans="13:16" ht="20.100000000000001" customHeight="1">
      <c r="M440" s="119"/>
      <c r="O440" s="119"/>
      <c r="P440" s="119"/>
    </row>
    <row r="441" spans="13:16" ht="20.100000000000001" customHeight="1">
      <c r="M441" s="119"/>
      <c r="O441" s="119"/>
      <c r="P441" s="119"/>
    </row>
    <row r="442" spans="13:16" ht="20.100000000000001" customHeight="1">
      <c r="M442" s="119"/>
      <c r="O442" s="119"/>
      <c r="P442" s="119"/>
    </row>
    <row r="443" spans="13:16" ht="20.100000000000001" customHeight="1">
      <c r="M443" s="119"/>
      <c r="O443" s="119"/>
      <c r="P443" s="119"/>
    </row>
    <row r="444" spans="13:16" ht="20.100000000000001" customHeight="1">
      <c r="M444" s="119"/>
      <c r="O444" s="119"/>
      <c r="P444" s="119"/>
    </row>
    <row r="445" spans="13:16" ht="20.100000000000001" customHeight="1">
      <c r="M445" s="119"/>
      <c r="O445" s="119"/>
      <c r="P445" s="119"/>
    </row>
    <row r="446" spans="13:16" ht="20.100000000000001" customHeight="1">
      <c r="M446" s="119"/>
      <c r="O446" s="119"/>
      <c r="P446" s="119"/>
    </row>
    <row r="447" spans="13:16" ht="20.100000000000001" customHeight="1">
      <c r="M447" s="119"/>
      <c r="O447" s="119"/>
      <c r="P447" s="119"/>
    </row>
    <row r="448" spans="13:16" ht="20.100000000000001" customHeight="1">
      <c r="M448" s="119"/>
      <c r="O448" s="119"/>
      <c r="P448" s="119"/>
    </row>
    <row r="449" spans="13:16" ht="20.100000000000001" customHeight="1">
      <c r="M449" s="119"/>
      <c r="O449" s="119"/>
      <c r="P449" s="119"/>
    </row>
    <row r="450" spans="13:16" ht="20.100000000000001" customHeight="1">
      <c r="M450" s="119"/>
      <c r="O450" s="119"/>
      <c r="P450" s="119"/>
    </row>
    <row r="451" spans="13:16" ht="20.100000000000001" customHeight="1">
      <c r="M451" s="119"/>
      <c r="O451" s="119"/>
      <c r="P451" s="119"/>
    </row>
    <row r="452" spans="13:16" ht="20.100000000000001" customHeight="1">
      <c r="M452" s="119"/>
      <c r="O452" s="119"/>
      <c r="P452" s="119"/>
    </row>
    <row r="453" spans="13:16" ht="20.100000000000001" customHeight="1">
      <c r="M453" s="119"/>
      <c r="O453" s="119"/>
      <c r="P453" s="119"/>
    </row>
    <row r="454" spans="13:16" ht="20.100000000000001" customHeight="1">
      <c r="M454" s="119"/>
      <c r="O454" s="119"/>
      <c r="P454" s="119"/>
    </row>
    <row r="455" spans="13:16" ht="20.100000000000001" customHeight="1">
      <c r="M455" s="119"/>
      <c r="O455" s="119"/>
      <c r="P455" s="119"/>
    </row>
    <row r="456" spans="13:16" ht="20.100000000000001" customHeight="1">
      <c r="M456" s="119"/>
      <c r="O456" s="119"/>
      <c r="P456" s="119"/>
    </row>
    <row r="457" spans="13:16" ht="20.100000000000001" customHeight="1">
      <c r="M457" s="119"/>
      <c r="O457" s="119"/>
      <c r="P457" s="119"/>
    </row>
    <row r="458" spans="13:16" ht="20.100000000000001" customHeight="1">
      <c r="M458" s="119"/>
      <c r="O458" s="119"/>
      <c r="P458" s="119"/>
    </row>
    <row r="459" spans="13:16" ht="20.100000000000001" customHeight="1">
      <c r="M459" s="119"/>
      <c r="O459" s="119"/>
      <c r="P459" s="119"/>
    </row>
    <row r="460" spans="13:16" ht="20.100000000000001" customHeight="1">
      <c r="M460" s="119"/>
      <c r="O460" s="119"/>
      <c r="P460" s="119"/>
    </row>
    <row r="461" spans="13:16" ht="20.100000000000001" customHeight="1">
      <c r="M461" s="119"/>
      <c r="O461" s="119"/>
      <c r="P461" s="119"/>
    </row>
    <row r="462" spans="13:16" ht="20.100000000000001" customHeight="1">
      <c r="M462" s="119"/>
      <c r="O462" s="119"/>
      <c r="P462" s="119"/>
    </row>
    <row r="463" spans="13:16" ht="20.100000000000001" customHeight="1">
      <c r="M463" s="119"/>
      <c r="O463" s="119"/>
      <c r="P463" s="119"/>
    </row>
    <row r="464" spans="13:16" ht="20.100000000000001" customHeight="1">
      <c r="M464" s="119"/>
      <c r="O464" s="119"/>
      <c r="P464" s="119"/>
    </row>
    <row r="465" spans="13:16" ht="20.100000000000001" customHeight="1">
      <c r="M465" s="119"/>
      <c r="O465" s="119"/>
      <c r="P465" s="119"/>
    </row>
    <row r="466" spans="13:16" ht="20.100000000000001" customHeight="1">
      <c r="M466" s="119"/>
      <c r="O466" s="119"/>
      <c r="P466" s="119"/>
    </row>
    <row r="467" spans="13:16" ht="20.100000000000001" customHeight="1">
      <c r="M467" s="119"/>
      <c r="O467" s="119"/>
      <c r="P467" s="119"/>
    </row>
    <row r="468" spans="13:16" ht="20.100000000000001" customHeight="1">
      <c r="M468" s="119"/>
      <c r="O468" s="119"/>
      <c r="P468" s="119"/>
    </row>
    <row r="469" spans="13:16" ht="20.100000000000001" customHeight="1">
      <c r="M469" s="119"/>
      <c r="O469" s="119"/>
      <c r="P469" s="119"/>
    </row>
    <row r="470" spans="13:16" ht="20.100000000000001" customHeight="1">
      <c r="M470" s="119"/>
      <c r="O470" s="119"/>
      <c r="P470" s="119"/>
    </row>
    <row r="471" spans="13:16" ht="20.100000000000001" customHeight="1">
      <c r="M471" s="119"/>
      <c r="O471" s="119"/>
      <c r="P471" s="119"/>
    </row>
    <row r="472" spans="13:16" ht="20.100000000000001" customHeight="1">
      <c r="M472" s="119"/>
      <c r="O472" s="119"/>
      <c r="P472" s="119"/>
    </row>
    <row r="473" spans="13:16" ht="20.100000000000001" customHeight="1">
      <c r="M473" s="119"/>
      <c r="O473" s="119"/>
      <c r="P473" s="119"/>
    </row>
    <row r="474" spans="13:16" ht="20.100000000000001" customHeight="1">
      <c r="M474" s="119"/>
      <c r="O474" s="119"/>
      <c r="P474" s="119"/>
    </row>
    <row r="475" spans="13:16" ht="20.100000000000001" customHeight="1">
      <c r="M475" s="119"/>
      <c r="O475" s="119"/>
      <c r="P475" s="119"/>
    </row>
    <row r="476" spans="13:16" ht="20.100000000000001" customHeight="1">
      <c r="M476" s="119"/>
      <c r="O476" s="119"/>
      <c r="P476" s="119"/>
    </row>
    <row r="477" spans="13:16" ht="20.100000000000001" customHeight="1">
      <c r="M477" s="119"/>
      <c r="O477" s="119"/>
      <c r="P477" s="119"/>
    </row>
    <row r="478" spans="13:16" ht="20.100000000000001" customHeight="1">
      <c r="M478" s="119"/>
      <c r="O478" s="119"/>
      <c r="P478" s="119"/>
    </row>
    <row r="479" spans="13:16" ht="20.100000000000001" customHeight="1">
      <c r="M479" s="119"/>
      <c r="O479" s="119"/>
      <c r="P479" s="119"/>
    </row>
    <row r="480" spans="13:16" ht="20.100000000000001" customHeight="1">
      <c r="M480" s="119"/>
      <c r="O480" s="119"/>
      <c r="P480" s="119"/>
    </row>
    <row r="481" spans="13:16" ht="20.100000000000001" customHeight="1">
      <c r="M481" s="119"/>
      <c r="O481" s="119"/>
      <c r="P481" s="119"/>
    </row>
    <row r="482" spans="13:16" ht="20.100000000000001" customHeight="1">
      <c r="M482" s="119"/>
      <c r="O482" s="119"/>
      <c r="P482" s="119"/>
    </row>
    <row r="483" spans="13:16" ht="20.100000000000001" customHeight="1">
      <c r="M483" s="119"/>
      <c r="O483" s="119"/>
      <c r="P483" s="119"/>
    </row>
    <row r="484" spans="13:16" ht="20.100000000000001" customHeight="1">
      <c r="M484" s="119"/>
      <c r="O484" s="119"/>
      <c r="P484" s="119"/>
    </row>
    <row r="485" spans="13:16" ht="20.100000000000001" customHeight="1">
      <c r="M485" s="119"/>
      <c r="O485" s="119"/>
      <c r="P485" s="119"/>
    </row>
    <row r="486" spans="13:16" ht="20.100000000000001" customHeight="1">
      <c r="M486" s="119"/>
      <c r="O486" s="119"/>
      <c r="P486" s="119"/>
    </row>
    <row r="487" spans="13:16" ht="20.100000000000001" customHeight="1">
      <c r="M487" s="119"/>
      <c r="O487" s="119"/>
      <c r="P487" s="119"/>
    </row>
    <row r="488" spans="13:16" ht="20.100000000000001" customHeight="1">
      <c r="M488" s="119"/>
      <c r="O488" s="119"/>
      <c r="P488" s="119"/>
    </row>
    <row r="489" spans="13:16" ht="20.100000000000001" customHeight="1">
      <c r="M489" s="119"/>
      <c r="O489" s="119"/>
      <c r="P489" s="119"/>
    </row>
    <row r="490" spans="13:16" ht="20.100000000000001" customHeight="1">
      <c r="M490" s="119"/>
      <c r="O490" s="119"/>
      <c r="P490" s="119"/>
    </row>
    <row r="491" spans="13:16" ht="20.100000000000001" customHeight="1">
      <c r="M491" s="119"/>
      <c r="O491" s="119"/>
      <c r="P491" s="119"/>
    </row>
    <row r="492" spans="13:16" ht="20.100000000000001" customHeight="1">
      <c r="M492" s="119"/>
      <c r="O492" s="119"/>
      <c r="P492" s="119"/>
    </row>
    <row r="493" spans="13:16" ht="20.100000000000001" customHeight="1">
      <c r="M493" s="119"/>
      <c r="O493" s="119"/>
      <c r="P493" s="119"/>
    </row>
    <row r="494" spans="13:16" ht="20.100000000000001" customHeight="1">
      <c r="M494" s="119"/>
      <c r="O494" s="119"/>
      <c r="P494" s="119"/>
    </row>
    <row r="495" spans="13:16" ht="20.100000000000001" customHeight="1">
      <c r="M495" s="119"/>
      <c r="O495" s="119"/>
      <c r="P495" s="119"/>
    </row>
    <row r="496" spans="13:16" ht="20.100000000000001" customHeight="1">
      <c r="M496" s="119"/>
      <c r="O496" s="119"/>
      <c r="P496" s="119"/>
    </row>
    <row r="497" spans="13:16" ht="20.100000000000001" customHeight="1">
      <c r="M497" s="119"/>
      <c r="O497" s="119"/>
      <c r="P497" s="119"/>
    </row>
    <row r="498" spans="13:16" ht="20.100000000000001" customHeight="1">
      <c r="M498" s="119"/>
      <c r="O498" s="119"/>
      <c r="P498" s="119"/>
    </row>
    <row r="499" spans="13:16" ht="20.100000000000001" customHeight="1">
      <c r="M499" s="119"/>
      <c r="O499" s="119"/>
      <c r="P499" s="119"/>
    </row>
    <row r="500" spans="13:16" ht="20.100000000000001" customHeight="1">
      <c r="M500" s="119"/>
      <c r="O500" s="119"/>
      <c r="P500" s="119"/>
    </row>
    <row r="501" spans="13:16" ht="20.100000000000001" customHeight="1">
      <c r="M501" s="119"/>
      <c r="O501" s="119"/>
      <c r="P501" s="119"/>
    </row>
    <row r="502" spans="13:16" ht="20.100000000000001" customHeight="1">
      <c r="M502" s="119"/>
      <c r="O502" s="119"/>
      <c r="P502" s="119"/>
    </row>
    <row r="503" spans="13:16" ht="20.100000000000001" customHeight="1">
      <c r="M503" s="119"/>
      <c r="O503" s="119"/>
      <c r="P503" s="119"/>
    </row>
    <row r="504" spans="13:16" ht="20.100000000000001" customHeight="1">
      <c r="M504" s="119"/>
      <c r="O504" s="119"/>
      <c r="P504" s="119"/>
    </row>
    <row r="505" spans="13:16" ht="20.100000000000001" customHeight="1">
      <c r="M505" s="119"/>
      <c r="O505" s="119"/>
      <c r="P505" s="119"/>
    </row>
    <row r="506" spans="13:16" ht="20.100000000000001" customHeight="1">
      <c r="M506" s="119"/>
      <c r="O506" s="119"/>
      <c r="P506" s="119"/>
    </row>
    <row r="507" spans="13:16" ht="20.100000000000001" customHeight="1">
      <c r="M507" s="119"/>
      <c r="O507" s="119"/>
      <c r="P507" s="119"/>
    </row>
    <row r="508" spans="13:16" ht="20.100000000000001" customHeight="1">
      <c r="M508" s="119"/>
      <c r="O508" s="119"/>
      <c r="P508" s="119"/>
    </row>
    <row r="509" spans="13:16" ht="20.100000000000001" customHeight="1">
      <c r="M509" s="119"/>
      <c r="O509" s="119"/>
      <c r="P509" s="119"/>
    </row>
    <row r="510" spans="13:16" ht="20.100000000000001" customHeight="1">
      <c r="M510" s="119"/>
      <c r="O510" s="119"/>
      <c r="P510" s="119"/>
    </row>
    <row r="511" spans="13:16" ht="20.100000000000001" customHeight="1">
      <c r="M511" s="119"/>
      <c r="O511" s="119"/>
      <c r="P511" s="119"/>
    </row>
    <row r="512" spans="13:16" ht="20.100000000000001" customHeight="1">
      <c r="M512" s="119"/>
      <c r="O512" s="119"/>
      <c r="P512" s="119"/>
    </row>
    <row r="513" spans="13:16" ht="20.100000000000001" customHeight="1">
      <c r="M513" s="119"/>
      <c r="O513" s="119"/>
      <c r="P513" s="119"/>
    </row>
    <row r="514" spans="13:16" ht="20.100000000000001" customHeight="1">
      <c r="M514" s="119"/>
      <c r="O514" s="119"/>
      <c r="P514" s="119"/>
    </row>
    <row r="515" spans="13:16" ht="20.100000000000001" customHeight="1">
      <c r="M515" s="119"/>
      <c r="O515" s="119"/>
      <c r="P515" s="119"/>
    </row>
    <row r="516" spans="13:16" ht="20.100000000000001" customHeight="1">
      <c r="M516" s="119"/>
      <c r="O516" s="119"/>
      <c r="P516" s="119"/>
    </row>
    <row r="517" spans="13:16" ht="20.100000000000001" customHeight="1">
      <c r="M517" s="119"/>
      <c r="O517" s="119"/>
      <c r="P517" s="119"/>
    </row>
    <row r="518" spans="13:16" ht="20.100000000000001" customHeight="1">
      <c r="M518" s="119"/>
      <c r="O518" s="119"/>
      <c r="P518" s="119"/>
    </row>
    <row r="519" spans="13:16" ht="20.100000000000001" customHeight="1">
      <c r="M519" s="119"/>
      <c r="O519" s="119"/>
      <c r="P519" s="119"/>
    </row>
    <row r="520" spans="13:16" ht="20.100000000000001" customHeight="1">
      <c r="M520" s="119"/>
      <c r="O520" s="119"/>
      <c r="P520" s="119"/>
    </row>
    <row r="521" spans="13:16" ht="20.100000000000001" customHeight="1">
      <c r="M521" s="119"/>
      <c r="O521" s="119"/>
      <c r="P521" s="119"/>
    </row>
    <row r="522" spans="13:16" ht="20.100000000000001" customHeight="1">
      <c r="M522" s="119"/>
      <c r="O522" s="119"/>
      <c r="P522" s="119"/>
    </row>
    <row r="523" spans="13:16" ht="20.100000000000001" customHeight="1">
      <c r="M523" s="119"/>
      <c r="O523" s="119"/>
      <c r="P523" s="119"/>
    </row>
    <row r="524" spans="13:16" ht="20.100000000000001" customHeight="1">
      <c r="M524" s="119"/>
      <c r="O524" s="119"/>
      <c r="P524" s="119"/>
    </row>
    <row r="525" spans="13:16" ht="20.100000000000001" customHeight="1">
      <c r="M525" s="119"/>
      <c r="O525" s="119"/>
      <c r="P525" s="119"/>
    </row>
    <row r="526" spans="13:16" ht="20.100000000000001" customHeight="1">
      <c r="M526" s="119"/>
      <c r="O526" s="119"/>
      <c r="P526" s="119"/>
    </row>
    <row r="527" spans="13:16" ht="20.100000000000001" customHeight="1">
      <c r="M527" s="119"/>
      <c r="O527" s="119"/>
      <c r="P527" s="119"/>
    </row>
    <row r="528" spans="13:16" ht="20.100000000000001" customHeight="1">
      <c r="M528" s="119"/>
      <c r="O528" s="119"/>
      <c r="P528" s="119"/>
    </row>
    <row r="529" spans="13:16" ht="20.100000000000001" customHeight="1">
      <c r="M529" s="119"/>
      <c r="O529" s="119"/>
      <c r="P529" s="119"/>
    </row>
    <row r="530" spans="13:16" ht="20.100000000000001" customHeight="1">
      <c r="M530" s="119"/>
      <c r="O530" s="119"/>
      <c r="P530" s="119"/>
    </row>
    <row r="531" spans="13:16" ht="20.100000000000001" customHeight="1">
      <c r="M531" s="119"/>
      <c r="O531" s="119"/>
      <c r="P531" s="119"/>
    </row>
    <row r="532" spans="13:16" ht="20.100000000000001" customHeight="1">
      <c r="M532" s="119"/>
      <c r="O532" s="119"/>
      <c r="P532" s="119"/>
    </row>
    <row r="533" spans="13:16" ht="20.100000000000001" customHeight="1">
      <c r="M533" s="119"/>
      <c r="O533" s="119"/>
      <c r="P533" s="119"/>
    </row>
    <row r="534" spans="13:16" ht="20.100000000000001" customHeight="1">
      <c r="M534" s="119"/>
      <c r="O534" s="119"/>
      <c r="P534" s="119"/>
    </row>
    <row r="535" spans="13:16" ht="20.100000000000001" customHeight="1">
      <c r="M535" s="119"/>
      <c r="O535" s="119"/>
      <c r="P535" s="119"/>
    </row>
    <row r="536" spans="13:16" ht="20.100000000000001" customHeight="1">
      <c r="M536" s="119"/>
      <c r="O536" s="119"/>
      <c r="P536" s="119"/>
    </row>
    <row r="537" spans="13:16" ht="20.100000000000001" customHeight="1">
      <c r="M537" s="119"/>
      <c r="O537" s="119"/>
      <c r="P537" s="119"/>
    </row>
    <row r="538" spans="13:16" ht="20.100000000000001" customHeight="1">
      <c r="M538" s="119"/>
      <c r="O538" s="119"/>
      <c r="P538" s="119"/>
    </row>
    <row r="539" spans="13:16" ht="20.100000000000001" customHeight="1">
      <c r="M539" s="119"/>
      <c r="O539" s="119"/>
      <c r="P539" s="119"/>
    </row>
    <row r="540" spans="13:16" ht="20.100000000000001" customHeight="1">
      <c r="M540" s="119"/>
      <c r="O540" s="119"/>
      <c r="P540" s="119"/>
    </row>
    <row r="541" spans="13:16" ht="20.100000000000001" customHeight="1">
      <c r="M541" s="119"/>
      <c r="O541" s="119"/>
      <c r="P541" s="119"/>
    </row>
    <row r="542" spans="13:16" ht="20.100000000000001" customHeight="1">
      <c r="M542" s="119"/>
      <c r="O542" s="119"/>
      <c r="P542" s="119"/>
    </row>
  </sheetData>
  <mergeCells count="33">
    <mergeCell ref="E16:K16"/>
    <mergeCell ref="E21:K21"/>
    <mergeCell ref="E25:K25"/>
    <mergeCell ref="E13:I13"/>
    <mergeCell ref="J13:K13"/>
    <mergeCell ref="E17:I17"/>
    <mergeCell ref="J17:K17"/>
    <mergeCell ref="E27:I27"/>
    <mergeCell ref="J27:K27"/>
    <mergeCell ref="E19:I19"/>
    <mergeCell ref="J19:K19"/>
    <mergeCell ref="E22:I22"/>
    <mergeCell ref="J22:K22"/>
    <mergeCell ref="E26:I26"/>
    <mergeCell ref="J26:K26"/>
    <mergeCell ref="E12:K12"/>
    <mergeCell ref="C7:F7"/>
    <mergeCell ref="G7:L7"/>
    <mergeCell ref="E8:H8"/>
    <mergeCell ref="I8:L8"/>
    <mergeCell ref="E9:J9"/>
    <mergeCell ref="E10:I10"/>
    <mergeCell ref="J10:K10"/>
    <mergeCell ref="A1:O1"/>
    <mergeCell ref="P4:P5"/>
    <mergeCell ref="A5:L5"/>
    <mergeCell ref="N3:O3"/>
    <mergeCell ref="A6:L6"/>
    <mergeCell ref="A3:M3"/>
    <mergeCell ref="A4:L4"/>
    <mergeCell ref="M4:M5"/>
    <mergeCell ref="N4:N5"/>
    <mergeCell ref="O4:O5"/>
  </mergeCells>
  <phoneticPr fontId="2" type="noConversion"/>
  <pageMargins left="0.70866141732283472" right="0.70866141732283472" top="1.1417322834645669" bottom="1.1417322834645669" header="0.31496062992125984" footer="0.31496062992125984"/>
  <pageSetup paperSize="9" scale="64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2" operator="containsText" text="화, 목" id="{DC3813CE-E33A-4E54-9861-ABD903E9BEA4}">
            <xm:f>NOT(ISERROR(SEARCH("화, 목",'공원수련관관리처(수련관)'!A7)))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A24:F24 J24:L24 A11:F11 J11:L11 A20:F20 J20:L20</xm:sqref>
        </x14:conditionalFormatting>
        <x14:conditionalFormatting xmlns:xm="http://schemas.microsoft.com/office/excel/2006/main">
          <x14:cfRule type="containsText" priority="21" operator="containsText" text="수, 금" id="{AA584479-47E7-4C9F-A911-1921D559D16C}">
            <xm:f>NOT(ISERROR(SEARCH("수, 금",'공원수련관관리처(수련관)'!B7)))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B24:F24 J24:L24 B11:F11 J11:L11 B20:F20 J20:L20</xm:sqref>
        </x14:conditionalFormatting>
        <x14:conditionalFormatting xmlns:xm="http://schemas.microsoft.com/office/excel/2006/main">
          <x14:cfRule type="containsText" priority="25" operator="containsText" text="화, 목" id="{DC3813CE-E33A-4E54-9861-ABD903E9BEA4}">
            <xm:f>NOT(ISERROR(SEARCH("화, 목",'공원수련관관리처(수련관)'!H7)))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G24:H24 G11:H11 G20:H20</xm:sqref>
        </x14:conditionalFormatting>
        <x14:conditionalFormatting xmlns:xm="http://schemas.microsoft.com/office/excel/2006/main">
          <x14:cfRule type="containsText" priority="29" operator="containsText" text="수, 금" id="{AA584479-47E7-4C9F-A911-1921D559D16C}">
            <xm:f>NOT(ISERROR(SEARCH("수, 금",'공원수련관관리처(수련관)'!H7)))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G24:H24 G11:H11 G20:H20</xm:sqref>
        </x14:conditionalFormatting>
        <x14:conditionalFormatting xmlns:xm="http://schemas.microsoft.com/office/excel/2006/main">
          <x14:cfRule type="containsText" priority="30" operator="containsText" text="화, 목" id="{DC3813CE-E33A-4E54-9861-ABD903E9BEA4}">
            <xm:f>NOT(ISERROR(SEARCH("화, 목",'공원수련관관리처(수련관)'!A15)))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A15:F15 J15:L15</xm:sqref>
        </x14:conditionalFormatting>
        <x14:conditionalFormatting xmlns:xm="http://schemas.microsoft.com/office/excel/2006/main">
          <x14:cfRule type="containsText" priority="33" operator="containsText" text="수, 금" id="{AA584479-47E7-4C9F-A911-1921D559D16C}">
            <xm:f>NOT(ISERROR(SEARCH("수, 금",'공원수련관관리처(수련관)'!B15)))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B15:F15 J15:L15</xm:sqref>
        </x14:conditionalFormatting>
        <x14:conditionalFormatting xmlns:xm="http://schemas.microsoft.com/office/excel/2006/main">
          <x14:cfRule type="containsText" priority="36" operator="containsText" text="화, 목" id="{DC3813CE-E33A-4E54-9861-ABD903E9BEA4}">
            <xm:f>NOT(ISERROR(SEARCH("화, 목",'공원수련관관리처(수련관)'!H15)))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G15:H15</xm:sqref>
        </x14:conditionalFormatting>
        <x14:conditionalFormatting xmlns:xm="http://schemas.microsoft.com/office/excel/2006/main">
          <x14:cfRule type="containsText" priority="37" operator="containsText" text="수, 금" id="{AA584479-47E7-4C9F-A911-1921D559D16C}">
            <xm:f>NOT(ISERROR(SEARCH("수, 금",'공원수련관관리처(수련관)'!H15)))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G15:H15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24"/>
  <sheetViews>
    <sheetView showGridLines="0" topLeftCell="A201" zoomScaleNormal="100" workbookViewId="0">
      <selection activeCell="G215" sqref="G215"/>
    </sheetView>
  </sheetViews>
  <sheetFormatPr defaultRowHeight="20.100000000000001" customHeight="1"/>
  <cols>
    <col min="1" max="8" width="1.625" style="98" customWidth="1"/>
    <col min="9" max="9" width="37.625" style="98" customWidth="1"/>
    <col min="10" max="10" width="23.625" style="98" customWidth="1"/>
    <col min="11" max="11" width="2.625" style="98" customWidth="1"/>
    <col min="12" max="12" width="10.625" style="98" customWidth="1"/>
    <col min="13" max="15" width="12.625" style="98" customWidth="1"/>
    <col min="16" max="16" width="1.625" style="98" hidden="1" customWidth="1"/>
    <col min="17" max="17" width="42.125" style="98" customWidth="1"/>
    <col min="18" max="239" width="9" style="98"/>
    <col min="240" max="240" width="1.5" style="98" customWidth="1"/>
    <col min="241" max="241" width="0.75" style="98" customWidth="1"/>
    <col min="242" max="247" width="1" style="98" customWidth="1"/>
    <col min="248" max="248" width="0.5" style="98" customWidth="1"/>
    <col min="249" max="249" width="31.25" style="98" customWidth="1"/>
    <col min="250" max="250" width="33.5" style="98" customWidth="1"/>
    <col min="251" max="251" width="2.625" style="98" customWidth="1"/>
    <col min="252" max="252" width="10.375" style="98" customWidth="1"/>
    <col min="253" max="253" width="10.875" style="98" customWidth="1"/>
    <col min="254" max="254" width="14.25" style="98" customWidth="1"/>
    <col min="255" max="255" width="10.875" style="98" customWidth="1"/>
    <col min="256" max="262" width="0" style="98" hidden="1" customWidth="1"/>
    <col min="263" max="263" width="9" style="98"/>
    <col min="264" max="264" width="10.875" style="98" bestFit="1" customWidth="1"/>
    <col min="265" max="495" width="9" style="98"/>
    <col min="496" max="496" width="1.5" style="98" customWidth="1"/>
    <col min="497" max="497" width="0.75" style="98" customWidth="1"/>
    <col min="498" max="503" width="1" style="98" customWidth="1"/>
    <col min="504" max="504" width="0.5" style="98" customWidth="1"/>
    <col min="505" max="505" width="31.25" style="98" customWidth="1"/>
    <col min="506" max="506" width="33.5" style="98" customWidth="1"/>
    <col min="507" max="507" width="2.625" style="98" customWidth="1"/>
    <col min="508" max="508" width="10.375" style="98" customWidth="1"/>
    <col min="509" max="509" width="10.875" style="98" customWidth="1"/>
    <col min="510" max="510" width="14.25" style="98" customWidth="1"/>
    <col min="511" max="511" width="10.875" style="98" customWidth="1"/>
    <col min="512" max="518" width="0" style="98" hidden="1" customWidth="1"/>
    <col min="519" max="519" width="9" style="98"/>
    <col min="520" max="520" width="10.875" style="98" bestFit="1" customWidth="1"/>
    <col min="521" max="751" width="9" style="98"/>
    <col min="752" max="752" width="1.5" style="98" customWidth="1"/>
    <col min="753" max="753" width="0.75" style="98" customWidth="1"/>
    <col min="754" max="759" width="1" style="98" customWidth="1"/>
    <col min="760" max="760" width="0.5" style="98" customWidth="1"/>
    <col min="761" max="761" width="31.25" style="98" customWidth="1"/>
    <col min="762" max="762" width="33.5" style="98" customWidth="1"/>
    <col min="763" max="763" width="2.625" style="98" customWidth="1"/>
    <col min="764" max="764" width="10.375" style="98" customWidth="1"/>
    <col min="765" max="765" width="10.875" style="98" customWidth="1"/>
    <col min="766" max="766" width="14.25" style="98" customWidth="1"/>
    <col min="767" max="767" width="10.875" style="98" customWidth="1"/>
    <col min="768" max="774" width="0" style="98" hidden="1" customWidth="1"/>
    <col min="775" max="775" width="9" style="98"/>
    <col min="776" max="776" width="10.875" style="98" bestFit="1" customWidth="1"/>
    <col min="777" max="1007" width="9" style="98"/>
    <col min="1008" max="1008" width="1.5" style="98" customWidth="1"/>
    <col min="1009" max="1009" width="0.75" style="98" customWidth="1"/>
    <col min="1010" max="1015" width="1" style="98" customWidth="1"/>
    <col min="1016" max="1016" width="0.5" style="98" customWidth="1"/>
    <col min="1017" max="1017" width="31.25" style="98" customWidth="1"/>
    <col min="1018" max="1018" width="33.5" style="98" customWidth="1"/>
    <col min="1019" max="1019" width="2.625" style="98" customWidth="1"/>
    <col min="1020" max="1020" width="10.375" style="98" customWidth="1"/>
    <col min="1021" max="1021" width="10.875" style="98" customWidth="1"/>
    <col min="1022" max="1022" width="14.25" style="98" customWidth="1"/>
    <col min="1023" max="1023" width="10.875" style="98" customWidth="1"/>
    <col min="1024" max="1030" width="0" style="98" hidden="1" customWidth="1"/>
    <col min="1031" max="1031" width="9" style="98"/>
    <col min="1032" max="1032" width="10.875" style="98" bestFit="1" customWidth="1"/>
    <col min="1033" max="1263" width="9" style="98"/>
    <col min="1264" max="1264" width="1.5" style="98" customWidth="1"/>
    <col min="1265" max="1265" width="0.75" style="98" customWidth="1"/>
    <col min="1266" max="1271" width="1" style="98" customWidth="1"/>
    <col min="1272" max="1272" width="0.5" style="98" customWidth="1"/>
    <col min="1273" max="1273" width="31.25" style="98" customWidth="1"/>
    <col min="1274" max="1274" width="33.5" style="98" customWidth="1"/>
    <col min="1275" max="1275" width="2.625" style="98" customWidth="1"/>
    <col min="1276" max="1276" width="10.375" style="98" customWidth="1"/>
    <col min="1277" max="1277" width="10.875" style="98" customWidth="1"/>
    <col min="1278" max="1278" width="14.25" style="98" customWidth="1"/>
    <col min="1279" max="1279" width="10.875" style="98" customWidth="1"/>
    <col min="1280" max="1286" width="0" style="98" hidden="1" customWidth="1"/>
    <col min="1287" max="1287" width="9" style="98"/>
    <col min="1288" max="1288" width="10.875" style="98" bestFit="1" customWidth="1"/>
    <col min="1289" max="1519" width="9" style="98"/>
    <col min="1520" max="1520" width="1.5" style="98" customWidth="1"/>
    <col min="1521" max="1521" width="0.75" style="98" customWidth="1"/>
    <col min="1522" max="1527" width="1" style="98" customWidth="1"/>
    <col min="1528" max="1528" width="0.5" style="98" customWidth="1"/>
    <col min="1529" max="1529" width="31.25" style="98" customWidth="1"/>
    <col min="1530" max="1530" width="33.5" style="98" customWidth="1"/>
    <col min="1531" max="1531" width="2.625" style="98" customWidth="1"/>
    <col min="1532" max="1532" width="10.375" style="98" customWidth="1"/>
    <col min="1533" max="1533" width="10.875" style="98" customWidth="1"/>
    <col min="1534" max="1534" width="14.25" style="98" customWidth="1"/>
    <col min="1535" max="1535" width="10.875" style="98" customWidth="1"/>
    <col min="1536" max="1542" width="0" style="98" hidden="1" customWidth="1"/>
    <col min="1543" max="1543" width="9" style="98"/>
    <col min="1544" max="1544" width="10.875" style="98" bestFit="1" customWidth="1"/>
    <col min="1545" max="1775" width="9" style="98"/>
    <col min="1776" max="1776" width="1.5" style="98" customWidth="1"/>
    <col min="1777" max="1777" width="0.75" style="98" customWidth="1"/>
    <col min="1778" max="1783" width="1" style="98" customWidth="1"/>
    <col min="1784" max="1784" width="0.5" style="98" customWidth="1"/>
    <col min="1785" max="1785" width="31.25" style="98" customWidth="1"/>
    <col min="1786" max="1786" width="33.5" style="98" customWidth="1"/>
    <col min="1787" max="1787" width="2.625" style="98" customWidth="1"/>
    <col min="1788" max="1788" width="10.375" style="98" customWidth="1"/>
    <col min="1789" max="1789" width="10.875" style="98" customWidth="1"/>
    <col min="1790" max="1790" width="14.25" style="98" customWidth="1"/>
    <col min="1791" max="1791" width="10.875" style="98" customWidth="1"/>
    <col min="1792" max="1798" width="0" style="98" hidden="1" customWidth="1"/>
    <col min="1799" max="1799" width="9" style="98"/>
    <col min="1800" max="1800" width="10.875" style="98" bestFit="1" customWidth="1"/>
    <col min="1801" max="2031" width="9" style="98"/>
    <col min="2032" max="2032" width="1.5" style="98" customWidth="1"/>
    <col min="2033" max="2033" width="0.75" style="98" customWidth="1"/>
    <col min="2034" max="2039" width="1" style="98" customWidth="1"/>
    <col min="2040" max="2040" width="0.5" style="98" customWidth="1"/>
    <col min="2041" max="2041" width="31.25" style="98" customWidth="1"/>
    <col min="2042" max="2042" width="33.5" style="98" customWidth="1"/>
    <col min="2043" max="2043" width="2.625" style="98" customWidth="1"/>
    <col min="2044" max="2044" width="10.375" style="98" customWidth="1"/>
    <col min="2045" max="2045" width="10.875" style="98" customWidth="1"/>
    <col min="2046" max="2046" width="14.25" style="98" customWidth="1"/>
    <col min="2047" max="2047" width="10.875" style="98" customWidth="1"/>
    <col min="2048" max="2054" width="0" style="98" hidden="1" customWidth="1"/>
    <col min="2055" max="2055" width="9" style="98"/>
    <col min="2056" max="2056" width="10.875" style="98" bestFit="1" customWidth="1"/>
    <col min="2057" max="2287" width="9" style="98"/>
    <col min="2288" max="2288" width="1.5" style="98" customWidth="1"/>
    <col min="2289" max="2289" width="0.75" style="98" customWidth="1"/>
    <col min="2290" max="2295" width="1" style="98" customWidth="1"/>
    <col min="2296" max="2296" width="0.5" style="98" customWidth="1"/>
    <col min="2297" max="2297" width="31.25" style="98" customWidth="1"/>
    <col min="2298" max="2298" width="33.5" style="98" customWidth="1"/>
    <col min="2299" max="2299" width="2.625" style="98" customWidth="1"/>
    <col min="2300" max="2300" width="10.375" style="98" customWidth="1"/>
    <col min="2301" max="2301" width="10.875" style="98" customWidth="1"/>
    <col min="2302" max="2302" width="14.25" style="98" customWidth="1"/>
    <col min="2303" max="2303" width="10.875" style="98" customWidth="1"/>
    <col min="2304" max="2310" width="0" style="98" hidden="1" customWidth="1"/>
    <col min="2311" max="2311" width="9" style="98"/>
    <col min="2312" max="2312" width="10.875" style="98" bestFit="1" customWidth="1"/>
    <col min="2313" max="2543" width="9" style="98"/>
    <col min="2544" max="2544" width="1.5" style="98" customWidth="1"/>
    <col min="2545" max="2545" width="0.75" style="98" customWidth="1"/>
    <col min="2546" max="2551" width="1" style="98" customWidth="1"/>
    <col min="2552" max="2552" width="0.5" style="98" customWidth="1"/>
    <col min="2553" max="2553" width="31.25" style="98" customWidth="1"/>
    <col min="2554" max="2554" width="33.5" style="98" customWidth="1"/>
    <col min="2555" max="2555" width="2.625" style="98" customWidth="1"/>
    <col min="2556" max="2556" width="10.375" style="98" customWidth="1"/>
    <col min="2557" max="2557" width="10.875" style="98" customWidth="1"/>
    <col min="2558" max="2558" width="14.25" style="98" customWidth="1"/>
    <col min="2559" max="2559" width="10.875" style="98" customWidth="1"/>
    <col min="2560" max="2566" width="0" style="98" hidden="1" customWidth="1"/>
    <col min="2567" max="2567" width="9" style="98"/>
    <col min="2568" max="2568" width="10.875" style="98" bestFit="1" customWidth="1"/>
    <col min="2569" max="2799" width="9" style="98"/>
    <col min="2800" max="2800" width="1.5" style="98" customWidth="1"/>
    <col min="2801" max="2801" width="0.75" style="98" customWidth="1"/>
    <col min="2802" max="2807" width="1" style="98" customWidth="1"/>
    <col min="2808" max="2808" width="0.5" style="98" customWidth="1"/>
    <col min="2809" max="2809" width="31.25" style="98" customWidth="1"/>
    <col min="2810" max="2810" width="33.5" style="98" customWidth="1"/>
    <col min="2811" max="2811" width="2.625" style="98" customWidth="1"/>
    <col min="2812" max="2812" width="10.375" style="98" customWidth="1"/>
    <col min="2813" max="2813" width="10.875" style="98" customWidth="1"/>
    <col min="2814" max="2814" width="14.25" style="98" customWidth="1"/>
    <col min="2815" max="2815" width="10.875" style="98" customWidth="1"/>
    <col min="2816" max="2822" width="0" style="98" hidden="1" customWidth="1"/>
    <col min="2823" max="2823" width="9" style="98"/>
    <col min="2824" max="2824" width="10.875" style="98" bestFit="1" customWidth="1"/>
    <col min="2825" max="3055" width="9" style="98"/>
    <col min="3056" max="3056" width="1.5" style="98" customWidth="1"/>
    <col min="3057" max="3057" width="0.75" style="98" customWidth="1"/>
    <col min="3058" max="3063" width="1" style="98" customWidth="1"/>
    <col min="3064" max="3064" width="0.5" style="98" customWidth="1"/>
    <col min="3065" max="3065" width="31.25" style="98" customWidth="1"/>
    <col min="3066" max="3066" width="33.5" style="98" customWidth="1"/>
    <col min="3067" max="3067" width="2.625" style="98" customWidth="1"/>
    <col min="3068" max="3068" width="10.375" style="98" customWidth="1"/>
    <col min="3069" max="3069" width="10.875" style="98" customWidth="1"/>
    <col min="3070" max="3070" width="14.25" style="98" customWidth="1"/>
    <col min="3071" max="3071" width="10.875" style="98" customWidth="1"/>
    <col min="3072" max="3078" width="0" style="98" hidden="1" customWidth="1"/>
    <col min="3079" max="3079" width="9" style="98"/>
    <col min="3080" max="3080" width="10.875" style="98" bestFit="1" customWidth="1"/>
    <col min="3081" max="3311" width="9" style="98"/>
    <col min="3312" max="3312" width="1.5" style="98" customWidth="1"/>
    <col min="3313" max="3313" width="0.75" style="98" customWidth="1"/>
    <col min="3314" max="3319" width="1" style="98" customWidth="1"/>
    <col min="3320" max="3320" width="0.5" style="98" customWidth="1"/>
    <col min="3321" max="3321" width="31.25" style="98" customWidth="1"/>
    <col min="3322" max="3322" width="33.5" style="98" customWidth="1"/>
    <col min="3323" max="3323" width="2.625" style="98" customWidth="1"/>
    <col min="3324" max="3324" width="10.375" style="98" customWidth="1"/>
    <col min="3325" max="3325" width="10.875" style="98" customWidth="1"/>
    <col min="3326" max="3326" width="14.25" style="98" customWidth="1"/>
    <col min="3327" max="3327" width="10.875" style="98" customWidth="1"/>
    <col min="3328" max="3334" width="0" style="98" hidden="1" customWidth="1"/>
    <col min="3335" max="3335" width="9" style="98"/>
    <col min="3336" max="3336" width="10.875" style="98" bestFit="1" customWidth="1"/>
    <col min="3337" max="3567" width="9" style="98"/>
    <col min="3568" max="3568" width="1.5" style="98" customWidth="1"/>
    <col min="3569" max="3569" width="0.75" style="98" customWidth="1"/>
    <col min="3570" max="3575" width="1" style="98" customWidth="1"/>
    <col min="3576" max="3576" width="0.5" style="98" customWidth="1"/>
    <col min="3577" max="3577" width="31.25" style="98" customWidth="1"/>
    <col min="3578" max="3578" width="33.5" style="98" customWidth="1"/>
    <col min="3579" max="3579" width="2.625" style="98" customWidth="1"/>
    <col min="3580" max="3580" width="10.375" style="98" customWidth="1"/>
    <col min="3581" max="3581" width="10.875" style="98" customWidth="1"/>
    <col min="3582" max="3582" width="14.25" style="98" customWidth="1"/>
    <col min="3583" max="3583" width="10.875" style="98" customWidth="1"/>
    <col min="3584" max="3590" width="0" style="98" hidden="1" customWidth="1"/>
    <col min="3591" max="3591" width="9" style="98"/>
    <col min="3592" max="3592" width="10.875" style="98" bestFit="1" customWidth="1"/>
    <col min="3593" max="3823" width="9" style="98"/>
    <col min="3824" max="3824" width="1.5" style="98" customWidth="1"/>
    <col min="3825" max="3825" width="0.75" style="98" customWidth="1"/>
    <col min="3826" max="3831" width="1" style="98" customWidth="1"/>
    <col min="3832" max="3832" width="0.5" style="98" customWidth="1"/>
    <col min="3833" max="3833" width="31.25" style="98" customWidth="1"/>
    <col min="3834" max="3834" width="33.5" style="98" customWidth="1"/>
    <col min="3835" max="3835" width="2.625" style="98" customWidth="1"/>
    <col min="3836" max="3836" width="10.375" style="98" customWidth="1"/>
    <col min="3837" max="3837" width="10.875" style="98" customWidth="1"/>
    <col min="3838" max="3838" width="14.25" style="98" customWidth="1"/>
    <col min="3839" max="3839" width="10.875" style="98" customWidth="1"/>
    <col min="3840" max="3846" width="0" style="98" hidden="1" customWidth="1"/>
    <col min="3847" max="3847" width="9" style="98"/>
    <col min="3848" max="3848" width="10.875" style="98" bestFit="1" customWidth="1"/>
    <col min="3849" max="4079" width="9" style="98"/>
    <col min="4080" max="4080" width="1.5" style="98" customWidth="1"/>
    <col min="4081" max="4081" width="0.75" style="98" customWidth="1"/>
    <col min="4082" max="4087" width="1" style="98" customWidth="1"/>
    <col min="4088" max="4088" width="0.5" style="98" customWidth="1"/>
    <col min="4089" max="4089" width="31.25" style="98" customWidth="1"/>
    <col min="4090" max="4090" width="33.5" style="98" customWidth="1"/>
    <col min="4091" max="4091" width="2.625" style="98" customWidth="1"/>
    <col min="4092" max="4092" width="10.375" style="98" customWidth="1"/>
    <col min="4093" max="4093" width="10.875" style="98" customWidth="1"/>
    <col min="4094" max="4094" width="14.25" style="98" customWidth="1"/>
    <col min="4095" max="4095" width="10.875" style="98" customWidth="1"/>
    <col min="4096" max="4102" width="0" style="98" hidden="1" customWidth="1"/>
    <col min="4103" max="4103" width="9" style="98"/>
    <col min="4104" max="4104" width="10.875" style="98" bestFit="1" customWidth="1"/>
    <col min="4105" max="4335" width="9" style="98"/>
    <col min="4336" max="4336" width="1.5" style="98" customWidth="1"/>
    <col min="4337" max="4337" width="0.75" style="98" customWidth="1"/>
    <col min="4338" max="4343" width="1" style="98" customWidth="1"/>
    <col min="4344" max="4344" width="0.5" style="98" customWidth="1"/>
    <col min="4345" max="4345" width="31.25" style="98" customWidth="1"/>
    <col min="4346" max="4346" width="33.5" style="98" customWidth="1"/>
    <col min="4347" max="4347" width="2.625" style="98" customWidth="1"/>
    <col min="4348" max="4348" width="10.375" style="98" customWidth="1"/>
    <col min="4349" max="4349" width="10.875" style="98" customWidth="1"/>
    <col min="4350" max="4350" width="14.25" style="98" customWidth="1"/>
    <col min="4351" max="4351" width="10.875" style="98" customWidth="1"/>
    <col min="4352" max="4358" width="0" style="98" hidden="1" customWidth="1"/>
    <col min="4359" max="4359" width="9" style="98"/>
    <col min="4360" max="4360" width="10.875" style="98" bestFit="1" customWidth="1"/>
    <col min="4361" max="4591" width="9" style="98"/>
    <col min="4592" max="4592" width="1.5" style="98" customWidth="1"/>
    <col min="4593" max="4593" width="0.75" style="98" customWidth="1"/>
    <col min="4594" max="4599" width="1" style="98" customWidth="1"/>
    <col min="4600" max="4600" width="0.5" style="98" customWidth="1"/>
    <col min="4601" max="4601" width="31.25" style="98" customWidth="1"/>
    <col min="4602" max="4602" width="33.5" style="98" customWidth="1"/>
    <col min="4603" max="4603" width="2.625" style="98" customWidth="1"/>
    <col min="4604" max="4604" width="10.375" style="98" customWidth="1"/>
    <col min="4605" max="4605" width="10.875" style="98" customWidth="1"/>
    <col min="4606" max="4606" width="14.25" style="98" customWidth="1"/>
    <col min="4607" max="4607" width="10.875" style="98" customWidth="1"/>
    <col min="4608" max="4614" width="0" style="98" hidden="1" customWidth="1"/>
    <col min="4615" max="4615" width="9" style="98"/>
    <col min="4616" max="4616" width="10.875" style="98" bestFit="1" customWidth="1"/>
    <col min="4617" max="4847" width="9" style="98"/>
    <col min="4848" max="4848" width="1.5" style="98" customWidth="1"/>
    <col min="4849" max="4849" width="0.75" style="98" customWidth="1"/>
    <col min="4850" max="4855" width="1" style="98" customWidth="1"/>
    <col min="4856" max="4856" width="0.5" style="98" customWidth="1"/>
    <col min="4857" max="4857" width="31.25" style="98" customWidth="1"/>
    <col min="4858" max="4858" width="33.5" style="98" customWidth="1"/>
    <col min="4859" max="4859" width="2.625" style="98" customWidth="1"/>
    <col min="4860" max="4860" width="10.375" style="98" customWidth="1"/>
    <col min="4861" max="4861" width="10.875" style="98" customWidth="1"/>
    <col min="4862" max="4862" width="14.25" style="98" customWidth="1"/>
    <col min="4863" max="4863" width="10.875" style="98" customWidth="1"/>
    <col min="4864" max="4870" width="0" style="98" hidden="1" customWidth="1"/>
    <col min="4871" max="4871" width="9" style="98"/>
    <col min="4872" max="4872" width="10.875" style="98" bestFit="1" customWidth="1"/>
    <col min="4873" max="5103" width="9" style="98"/>
    <col min="5104" max="5104" width="1.5" style="98" customWidth="1"/>
    <col min="5105" max="5105" width="0.75" style="98" customWidth="1"/>
    <col min="5106" max="5111" width="1" style="98" customWidth="1"/>
    <col min="5112" max="5112" width="0.5" style="98" customWidth="1"/>
    <col min="5113" max="5113" width="31.25" style="98" customWidth="1"/>
    <col min="5114" max="5114" width="33.5" style="98" customWidth="1"/>
    <col min="5115" max="5115" width="2.625" style="98" customWidth="1"/>
    <col min="5116" max="5116" width="10.375" style="98" customWidth="1"/>
    <col min="5117" max="5117" width="10.875" style="98" customWidth="1"/>
    <col min="5118" max="5118" width="14.25" style="98" customWidth="1"/>
    <col min="5119" max="5119" width="10.875" style="98" customWidth="1"/>
    <col min="5120" max="5126" width="0" style="98" hidden="1" customWidth="1"/>
    <col min="5127" max="5127" width="9" style="98"/>
    <col min="5128" max="5128" width="10.875" style="98" bestFit="1" customWidth="1"/>
    <col min="5129" max="5359" width="9" style="98"/>
    <col min="5360" max="5360" width="1.5" style="98" customWidth="1"/>
    <col min="5361" max="5361" width="0.75" style="98" customWidth="1"/>
    <col min="5362" max="5367" width="1" style="98" customWidth="1"/>
    <col min="5368" max="5368" width="0.5" style="98" customWidth="1"/>
    <col min="5369" max="5369" width="31.25" style="98" customWidth="1"/>
    <col min="5370" max="5370" width="33.5" style="98" customWidth="1"/>
    <col min="5371" max="5371" width="2.625" style="98" customWidth="1"/>
    <col min="5372" max="5372" width="10.375" style="98" customWidth="1"/>
    <col min="5373" max="5373" width="10.875" style="98" customWidth="1"/>
    <col min="5374" max="5374" width="14.25" style="98" customWidth="1"/>
    <col min="5375" max="5375" width="10.875" style="98" customWidth="1"/>
    <col min="5376" max="5382" width="0" style="98" hidden="1" customWidth="1"/>
    <col min="5383" max="5383" width="9" style="98"/>
    <col min="5384" max="5384" width="10.875" style="98" bestFit="1" customWidth="1"/>
    <col min="5385" max="5615" width="9" style="98"/>
    <col min="5616" max="5616" width="1.5" style="98" customWidth="1"/>
    <col min="5617" max="5617" width="0.75" style="98" customWidth="1"/>
    <col min="5618" max="5623" width="1" style="98" customWidth="1"/>
    <col min="5624" max="5624" width="0.5" style="98" customWidth="1"/>
    <col min="5625" max="5625" width="31.25" style="98" customWidth="1"/>
    <col min="5626" max="5626" width="33.5" style="98" customWidth="1"/>
    <col min="5627" max="5627" width="2.625" style="98" customWidth="1"/>
    <col min="5628" max="5628" width="10.375" style="98" customWidth="1"/>
    <col min="5629" max="5629" width="10.875" style="98" customWidth="1"/>
    <col min="5630" max="5630" width="14.25" style="98" customWidth="1"/>
    <col min="5631" max="5631" width="10.875" style="98" customWidth="1"/>
    <col min="5632" max="5638" width="0" style="98" hidden="1" customWidth="1"/>
    <col min="5639" max="5639" width="9" style="98"/>
    <col min="5640" max="5640" width="10.875" style="98" bestFit="1" customWidth="1"/>
    <col min="5641" max="5871" width="9" style="98"/>
    <col min="5872" max="5872" width="1.5" style="98" customWidth="1"/>
    <col min="5873" max="5873" width="0.75" style="98" customWidth="1"/>
    <col min="5874" max="5879" width="1" style="98" customWidth="1"/>
    <col min="5880" max="5880" width="0.5" style="98" customWidth="1"/>
    <col min="5881" max="5881" width="31.25" style="98" customWidth="1"/>
    <col min="5882" max="5882" width="33.5" style="98" customWidth="1"/>
    <col min="5883" max="5883" width="2.625" style="98" customWidth="1"/>
    <col min="5884" max="5884" width="10.375" style="98" customWidth="1"/>
    <col min="5885" max="5885" width="10.875" style="98" customWidth="1"/>
    <col min="5886" max="5886" width="14.25" style="98" customWidth="1"/>
    <col min="5887" max="5887" width="10.875" style="98" customWidth="1"/>
    <col min="5888" max="5894" width="0" style="98" hidden="1" customWidth="1"/>
    <col min="5895" max="5895" width="9" style="98"/>
    <col min="5896" max="5896" width="10.875" style="98" bestFit="1" customWidth="1"/>
    <col min="5897" max="6127" width="9" style="98"/>
    <col min="6128" max="6128" width="1.5" style="98" customWidth="1"/>
    <col min="6129" max="6129" width="0.75" style="98" customWidth="1"/>
    <col min="6130" max="6135" width="1" style="98" customWidth="1"/>
    <col min="6136" max="6136" width="0.5" style="98" customWidth="1"/>
    <col min="6137" max="6137" width="31.25" style="98" customWidth="1"/>
    <col min="6138" max="6138" width="33.5" style="98" customWidth="1"/>
    <col min="6139" max="6139" width="2.625" style="98" customWidth="1"/>
    <col min="6140" max="6140" width="10.375" style="98" customWidth="1"/>
    <col min="6141" max="6141" width="10.875" style="98" customWidth="1"/>
    <col min="6142" max="6142" width="14.25" style="98" customWidth="1"/>
    <col min="6143" max="6143" width="10.875" style="98" customWidth="1"/>
    <col min="6144" max="6150" width="0" style="98" hidden="1" customWidth="1"/>
    <col min="6151" max="6151" width="9" style="98"/>
    <col min="6152" max="6152" width="10.875" style="98" bestFit="1" customWidth="1"/>
    <col min="6153" max="6383" width="9" style="98"/>
    <col min="6384" max="6384" width="1.5" style="98" customWidth="1"/>
    <col min="6385" max="6385" width="0.75" style="98" customWidth="1"/>
    <col min="6386" max="6391" width="1" style="98" customWidth="1"/>
    <col min="6392" max="6392" width="0.5" style="98" customWidth="1"/>
    <col min="6393" max="6393" width="31.25" style="98" customWidth="1"/>
    <col min="6394" max="6394" width="33.5" style="98" customWidth="1"/>
    <col min="6395" max="6395" width="2.625" style="98" customWidth="1"/>
    <col min="6396" max="6396" width="10.375" style="98" customWidth="1"/>
    <col min="6397" max="6397" width="10.875" style="98" customWidth="1"/>
    <col min="6398" max="6398" width="14.25" style="98" customWidth="1"/>
    <col min="6399" max="6399" width="10.875" style="98" customWidth="1"/>
    <col min="6400" max="6406" width="0" style="98" hidden="1" customWidth="1"/>
    <col min="6407" max="6407" width="9" style="98"/>
    <col min="6408" max="6408" width="10.875" style="98" bestFit="1" customWidth="1"/>
    <col min="6409" max="6639" width="9" style="98"/>
    <col min="6640" max="6640" width="1.5" style="98" customWidth="1"/>
    <col min="6641" max="6641" width="0.75" style="98" customWidth="1"/>
    <col min="6642" max="6647" width="1" style="98" customWidth="1"/>
    <col min="6648" max="6648" width="0.5" style="98" customWidth="1"/>
    <col min="6649" max="6649" width="31.25" style="98" customWidth="1"/>
    <col min="6650" max="6650" width="33.5" style="98" customWidth="1"/>
    <col min="6651" max="6651" width="2.625" style="98" customWidth="1"/>
    <col min="6652" max="6652" width="10.375" style="98" customWidth="1"/>
    <col min="6653" max="6653" width="10.875" style="98" customWidth="1"/>
    <col min="6654" max="6654" width="14.25" style="98" customWidth="1"/>
    <col min="6655" max="6655" width="10.875" style="98" customWidth="1"/>
    <col min="6656" max="6662" width="0" style="98" hidden="1" customWidth="1"/>
    <col min="6663" max="6663" width="9" style="98"/>
    <col min="6664" max="6664" width="10.875" style="98" bestFit="1" customWidth="1"/>
    <col min="6665" max="6895" width="9" style="98"/>
    <col min="6896" max="6896" width="1.5" style="98" customWidth="1"/>
    <col min="6897" max="6897" width="0.75" style="98" customWidth="1"/>
    <col min="6898" max="6903" width="1" style="98" customWidth="1"/>
    <col min="6904" max="6904" width="0.5" style="98" customWidth="1"/>
    <col min="6905" max="6905" width="31.25" style="98" customWidth="1"/>
    <col min="6906" max="6906" width="33.5" style="98" customWidth="1"/>
    <col min="6907" max="6907" width="2.625" style="98" customWidth="1"/>
    <col min="6908" max="6908" width="10.375" style="98" customWidth="1"/>
    <col min="6909" max="6909" width="10.875" style="98" customWidth="1"/>
    <col min="6910" max="6910" width="14.25" style="98" customWidth="1"/>
    <col min="6911" max="6911" width="10.875" style="98" customWidth="1"/>
    <col min="6912" max="6918" width="0" style="98" hidden="1" customWidth="1"/>
    <col min="6919" max="6919" width="9" style="98"/>
    <col min="6920" max="6920" width="10.875" style="98" bestFit="1" customWidth="1"/>
    <col min="6921" max="7151" width="9" style="98"/>
    <col min="7152" max="7152" width="1.5" style="98" customWidth="1"/>
    <col min="7153" max="7153" width="0.75" style="98" customWidth="1"/>
    <col min="7154" max="7159" width="1" style="98" customWidth="1"/>
    <col min="7160" max="7160" width="0.5" style="98" customWidth="1"/>
    <col min="7161" max="7161" width="31.25" style="98" customWidth="1"/>
    <col min="7162" max="7162" width="33.5" style="98" customWidth="1"/>
    <col min="7163" max="7163" width="2.625" style="98" customWidth="1"/>
    <col min="7164" max="7164" width="10.375" style="98" customWidth="1"/>
    <col min="7165" max="7165" width="10.875" style="98" customWidth="1"/>
    <col min="7166" max="7166" width="14.25" style="98" customWidth="1"/>
    <col min="7167" max="7167" width="10.875" style="98" customWidth="1"/>
    <col min="7168" max="7174" width="0" style="98" hidden="1" customWidth="1"/>
    <col min="7175" max="7175" width="9" style="98"/>
    <col min="7176" max="7176" width="10.875" style="98" bestFit="1" customWidth="1"/>
    <col min="7177" max="7407" width="9" style="98"/>
    <col min="7408" max="7408" width="1.5" style="98" customWidth="1"/>
    <col min="7409" max="7409" width="0.75" style="98" customWidth="1"/>
    <col min="7410" max="7415" width="1" style="98" customWidth="1"/>
    <col min="7416" max="7416" width="0.5" style="98" customWidth="1"/>
    <col min="7417" max="7417" width="31.25" style="98" customWidth="1"/>
    <col min="7418" max="7418" width="33.5" style="98" customWidth="1"/>
    <col min="7419" max="7419" width="2.625" style="98" customWidth="1"/>
    <col min="7420" max="7420" width="10.375" style="98" customWidth="1"/>
    <col min="7421" max="7421" width="10.875" style="98" customWidth="1"/>
    <col min="7422" max="7422" width="14.25" style="98" customWidth="1"/>
    <col min="7423" max="7423" width="10.875" style="98" customWidth="1"/>
    <col min="7424" max="7430" width="0" style="98" hidden="1" customWidth="1"/>
    <col min="7431" max="7431" width="9" style="98"/>
    <col min="7432" max="7432" width="10.875" style="98" bestFit="1" customWidth="1"/>
    <col min="7433" max="7663" width="9" style="98"/>
    <col min="7664" max="7664" width="1.5" style="98" customWidth="1"/>
    <col min="7665" max="7665" width="0.75" style="98" customWidth="1"/>
    <col min="7666" max="7671" width="1" style="98" customWidth="1"/>
    <col min="7672" max="7672" width="0.5" style="98" customWidth="1"/>
    <col min="7673" max="7673" width="31.25" style="98" customWidth="1"/>
    <col min="7674" max="7674" width="33.5" style="98" customWidth="1"/>
    <col min="7675" max="7675" width="2.625" style="98" customWidth="1"/>
    <col min="7676" max="7676" width="10.375" style="98" customWidth="1"/>
    <col min="7677" max="7677" width="10.875" style="98" customWidth="1"/>
    <col min="7678" max="7678" width="14.25" style="98" customWidth="1"/>
    <col min="7679" max="7679" width="10.875" style="98" customWidth="1"/>
    <col min="7680" max="7686" width="0" style="98" hidden="1" customWidth="1"/>
    <col min="7687" max="7687" width="9" style="98"/>
    <col min="7688" max="7688" width="10.875" style="98" bestFit="1" customWidth="1"/>
    <col min="7689" max="7919" width="9" style="98"/>
    <col min="7920" max="7920" width="1.5" style="98" customWidth="1"/>
    <col min="7921" max="7921" width="0.75" style="98" customWidth="1"/>
    <col min="7922" max="7927" width="1" style="98" customWidth="1"/>
    <col min="7928" max="7928" width="0.5" style="98" customWidth="1"/>
    <col min="7929" max="7929" width="31.25" style="98" customWidth="1"/>
    <col min="7930" max="7930" width="33.5" style="98" customWidth="1"/>
    <col min="7931" max="7931" width="2.625" style="98" customWidth="1"/>
    <col min="7932" max="7932" width="10.375" style="98" customWidth="1"/>
    <col min="7933" max="7933" width="10.875" style="98" customWidth="1"/>
    <col min="7934" max="7934" width="14.25" style="98" customWidth="1"/>
    <col min="7935" max="7935" width="10.875" style="98" customWidth="1"/>
    <col min="7936" max="7942" width="0" style="98" hidden="1" customWidth="1"/>
    <col min="7943" max="7943" width="9" style="98"/>
    <col min="7944" max="7944" width="10.875" style="98" bestFit="1" customWidth="1"/>
    <col min="7945" max="8175" width="9" style="98"/>
    <col min="8176" max="8176" width="1.5" style="98" customWidth="1"/>
    <col min="8177" max="8177" width="0.75" style="98" customWidth="1"/>
    <col min="8178" max="8183" width="1" style="98" customWidth="1"/>
    <col min="8184" max="8184" width="0.5" style="98" customWidth="1"/>
    <col min="8185" max="8185" width="31.25" style="98" customWidth="1"/>
    <col min="8186" max="8186" width="33.5" style="98" customWidth="1"/>
    <col min="8187" max="8187" width="2.625" style="98" customWidth="1"/>
    <col min="8188" max="8188" width="10.375" style="98" customWidth="1"/>
    <col min="8189" max="8189" width="10.875" style="98" customWidth="1"/>
    <col min="8190" max="8190" width="14.25" style="98" customWidth="1"/>
    <col min="8191" max="8191" width="10.875" style="98" customWidth="1"/>
    <col min="8192" max="8198" width="0" style="98" hidden="1" customWidth="1"/>
    <col min="8199" max="8199" width="9" style="98"/>
    <col min="8200" max="8200" width="10.875" style="98" bestFit="1" customWidth="1"/>
    <col min="8201" max="8431" width="9" style="98"/>
    <col min="8432" max="8432" width="1.5" style="98" customWidth="1"/>
    <col min="8433" max="8433" width="0.75" style="98" customWidth="1"/>
    <col min="8434" max="8439" width="1" style="98" customWidth="1"/>
    <col min="8440" max="8440" width="0.5" style="98" customWidth="1"/>
    <col min="8441" max="8441" width="31.25" style="98" customWidth="1"/>
    <col min="8442" max="8442" width="33.5" style="98" customWidth="1"/>
    <col min="8443" max="8443" width="2.625" style="98" customWidth="1"/>
    <col min="8444" max="8444" width="10.375" style="98" customWidth="1"/>
    <col min="8445" max="8445" width="10.875" style="98" customWidth="1"/>
    <col min="8446" max="8446" width="14.25" style="98" customWidth="1"/>
    <col min="8447" max="8447" width="10.875" style="98" customWidth="1"/>
    <col min="8448" max="8454" width="0" style="98" hidden="1" customWidth="1"/>
    <col min="8455" max="8455" width="9" style="98"/>
    <col min="8456" max="8456" width="10.875" style="98" bestFit="1" customWidth="1"/>
    <col min="8457" max="8687" width="9" style="98"/>
    <col min="8688" max="8688" width="1.5" style="98" customWidth="1"/>
    <col min="8689" max="8689" width="0.75" style="98" customWidth="1"/>
    <col min="8690" max="8695" width="1" style="98" customWidth="1"/>
    <col min="8696" max="8696" width="0.5" style="98" customWidth="1"/>
    <col min="8697" max="8697" width="31.25" style="98" customWidth="1"/>
    <col min="8698" max="8698" width="33.5" style="98" customWidth="1"/>
    <col min="8699" max="8699" width="2.625" style="98" customWidth="1"/>
    <col min="8700" max="8700" width="10.375" style="98" customWidth="1"/>
    <col min="8701" max="8701" width="10.875" style="98" customWidth="1"/>
    <col min="8702" max="8702" width="14.25" style="98" customWidth="1"/>
    <col min="8703" max="8703" width="10.875" style="98" customWidth="1"/>
    <col min="8704" max="8710" width="0" style="98" hidden="1" customWidth="1"/>
    <col min="8711" max="8711" width="9" style="98"/>
    <col min="8712" max="8712" width="10.875" style="98" bestFit="1" customWidth="1"/>
    <col min="8713" max="8943" width="9" style="98"/>
    <col min="8944" max="8944" width="1.5" style="98" customWidth="1"/>
    <col min="8945" max="8945" width="0.75" style="98" customWidth="1"/>
    <col min="8946" max="8951" width="1" style="98" customWidth="1"/>
    <col min="8952" max="8952" width="0.5" style="98" customWidth="1"/>
    <col min="8953" max="8953" width="31.25" style="98" customWidth="1"/>
    <col min="8954" max="8954" width="33.5" style="98" customWidth="1"/>
    <col min="8955" max="8955" width="2.625" style="98" customWidth="1"/>
    <col min="8956" max="8956" width="10.375" style="98" customWidth="1"/>
    <col min="8957" max="8957" width="10.875" style="98" customWidth="1"/>
    <col min="8958" max="8958" width="14.25" style="98" customWidth="1"/>
    <col min="8959" max="8959" width="10.875" style="98" customWidth="1"/>
    <col min="8960" max="8966" width="0" style="98" hidden="1" customWidth="1"/>
    <col min="8967" max="8967" width="9" style="98"/>
    <col min="8968" max="8968" width="10.875" style="98" bestFit="1" customWidth="1"/>
    <col min="8969" max="9199" width="9" style="98"/>
    <col min="9200" max="9200" width="1.5" style="98" customWidth="1"/>
    <col min="9201" max="9201" width="0.75" style="98" customWidth="1"/>
    <col min="9202" max="9207" width="1" style="98" customWidth="1"/>
    <col min="9208" max="9208" width="0.5" style="98" customWidth="1"/>
    <col min="9209" max="9209" width="31.25" style="98" customWidth="1"/>
    <col min="9210" max="9210" width="33.5" style="98" customWidth="1"/>
    <col min="9211" max="9211" width="2.625" style="98" customWidth="1"/>
    <col min="9212" max="9212" width="10.375" style="98" customWidth="1"/>
    <col min="9213" max="9213" width="10.875" style="98" customWidth="1"/>
    <col min="9214" max="9214" width="14.25" style="98" customWidth="1"/>
    <col min="9215" max="9215" width="10.875" style="98" customWidth="1"/>
    <col min="9216" max="9222" width="0" style="98" hidden="1" customWidth="1"/>
    <col min="9223" max="9223" width="9" style="98"/>
    <col min="9224" max="9224" width="10.875" style="98" bestFit="1" customWidth="1"/>
    <col min="9225" max="9455" width="9" style="98"/>
    <col min="9456" max="9456" width="1.5" style="98" customWidth="1"/>
    <col min="9457" max="9457" width="0.75" style="98" customWidth="1"/>
    <col min="9458" max="9463" width="1" style="98" customWidth="1"/>
    <col min="9464" max="9464" width="0.5" style="98" customWidth="1"/>
    <col min="9465" max="9465" width="31.25" style="98" customWidth="1"/>
    <col min="9466" max="9466" width="33.5" style="98" customWidth="1"/>
    <col min="9467" max="9467" width="2.625" style="98" customWidth="1"/>
    <col min="9468" max="9468" width="10.375" style="98" customWidth="1"/>
    <col min="9469" max="9469" width="10.875" style="98" customWidth="1"/>
    <col min="9470" max="9470" width="14.25" style="98" customWidth="1"/>
    <col min="9471" max="9471" width="10.875" style="98" customWidth="1"/>
    <col min="9472" max="9478" width="0" style="98" hidden="1" customWidth="1"/>
    <col min="9479" max="9479" width="9" style="98"/>
    <col min="9480" max="9480" width="10.875" style="98" bestFit="1" customWidth="1"/>
    <col min="9481" max="9711" width="9" style="98"/>
    <col min="9712" max="9712" width="1.5" style="98" customWidth="1"/>
    <col min="9713" max="9713" width="0.75" style="98" customWidth="1"/>
    <col min="9714" max="9719" width="1" style="98" customWidth="1"/>
    <col min="9720" max="9720" width="0.5" style="98" customWidth="1"/>
    <col min="9721" max="9721" width="31.25" style="98" customWidth="1"/>
    <col min="9722" max="9722" width="33.5" style="98" customWidth="1"/>
    <col min="9723" max="9723" width="2.625" style="98" customWidth="1"/>
    <col min="9724" max="9724" width="10.375" style="98" customWidth="1"/>
    <col min="9725" max="9725" width="10.875" style="98" customWidth="1"/>
    <col min="9726" max="9726" width="14.25" style="98" customWidth="1"/>
    <col min="9727" max="9727" width="10.875" style="98" customWidth="1"/>
    <col min="9728" max="9734" width="0" style="98" hidden="1" customWidth="1"/>
    <col min="9735" max="9735" width="9" style="98"/>
    <col min="9736" max="9736" width="10.875" style="98" bestFit="1" customWidth="1"/>
    <col min="9737" max="9967" width="9" style="98"/>
    <col min="9968" max="9968" width="1.5" style="98" customWidth="1"/>
    <col min="9969" max="9969" width="0.75" style="98" customWidth="1"/>
    <col min="9970" max="9975" width="1" style="98" customWidth="1"/>
    <col min="9976" max="9976" width="0.5" style="98" customWidth="1"/>
    <col min="9977" max="9977" width="31.25" style="98" customWidth="1"/>
    <col min="9978" max="9978" width="33.5" style="98" customWidth="1"/>
    <col min="9979" max="9979" width="2.625" style="98" customWidth="1"/>
    <col min="9980" max="9980" width="10.375" style="98" customWidth="1"/>
    <col min="9981" max="9981" width="10.875" style="98" customWidth="1"/>
    <col min="9982" max="9982" width="14.25" style="98" customWidth="1"/>
    <col min="9983" max="9983" width="10.875" style="98" customWidth="1"/>
    <col min="9984" max="9990" width="0" style="98" hidden="1" customWidth="1"/>
    <col min="9991" max="9991" width="9" style="98"/>
    <col min="9992" max="9992" width="10.875" style="98" bestFit="1" customWidth="1"/>
    <col min="9993" max="10223" width="9" style="98"/>
    <col min="10224" max="10224" width="1.5" style="98" customWidth="1"/>
    <col min="10225" max="10225" width="0.75" style="98" customWidth="1"/>
    <col min="10226" max="10231" width="1" style="98" customWidth="1"/>
    <col min="10232" max="10232" width="0.5" style="98" customWidth="1"/>
    <col min="10233" max="10233" width="31.25" style="98" customWidth="1"/>
    <col min="10234" max="10234" width="33.5" style="98" customWidth="1"/>
    <col min="10235" max="10235" width="2.625" style="98" customWidth="1"/>
    <col min="10236" max="10236" width="10.375" style="98" customWidth="1"/>
    <col min="10237" max="10237" width="10.875" style="98" customWidth="1"/>
    <col min="10238" max="10238" width="14.25" style="98" customWidth="1"/>
    <col min="10239" max="10239" width="10.875" style="98" customWidth="1"/>
    <col min="10240" max="10246" width="0" style="98" hidden="1" customWidth="1"/>
    <col min="10247" max="10247" width="9" style="98"/>
    <col min="10248" max="10248" width="10.875" style="98" bestFit="1" customWidth="1"/>
    <col min="10249" max="10479" width="9" style="98"/>
    <col min="10480" max="10480" width="1.5" style="98" customWidth="1"/>
    <col min="10481" max="10481" width="0.75" style="98" customWidth="1"/>
    <col min="10482" max="10487" width="1" style="98" customWidth="1"/>
    <col min="10488" max="10488" width="0.5" style="98" customWidth="1"/>
    <col min="10489" max="10489" width="31.25" style="98" customWidth="1"/>
    <col min="10490" max="10490" width="33.5" style="98" customWidth="1"/>
    <col min="10491" max="10491" width="2.625" style="98" customWidth="1"/>
    <col min="10492" max="10492" width="10.375" style="98" customWidth="1"/>
    <col min="10493" max="10493" width="10.875" style="98" customWidth="1"/>
    <col min="10494" max="10494" width="14.25" style="98" customWidth="1"/>
    <col min="10495" max="10495" width="10.875" style="98" customWidth="1"/>
    <col min="10496" max="10502" width="0" style="98" hidden="1" customWidth="1"/>
    <col min="10503" max="10503" width="9" style="98"/>
    <col min="10504" max="10504" width="10.875" style="98" bestFit="1" customWidth="1"/>
    <col min="10505" max="10735" width="9" style="98"/>
    <col min="10736" max="10736" width="1.5" style="98" customWidth="1"/>
    <col min="10737" max="10737" width="0.75" style="98" customWidth="1"/>
    <col min="10738" max="10743" width="1" style="98" customWidth="1"/>
    <col min="10744" max="10744" width="0.5" style="98" customWidth="1"/>
    <col min="10745" max="10745" width="31.25" style="98" customWidth="1"/>
    <col min="10746" max="10746" width="33.5" style="98" customWidth="1"/>
    <col min="10747" max="10747" width="2.625" style="98" customWidth="1"/>
    <col min="10748" max="10748" width="10.375" style="98" customWidth="1"/>
    <col min="10749" max="10749" width="10.875" style="98" customWidth="1"/>
    <col min="10750" max="10750" width="14.25" style="98" customWidth="1"/>
    <col min="10751" max="10751" width="10.875" style="98" customWidth="1"/>
    <col min="10752" max="10758" width="0" style="98" hidden="1" customWidth="1"/>
    <col min="10759" max="10759" width="9" style="98"/>
    <col min="10760" max="10760" width="10.875" style="98" bestFit="1" customWidth="1"/>
    <col min="10761" max="10991" width="9" style="98"/>
    <col min="10992" max="10992" width="1.5" style="98" customWidth="1"/>
    <col min="10993" max="10993" width="0.75" style="98" customWidth="1"/>
    <col min="10994" max="10999" width="1" style="98" customWidth="1"/>
    <col min="11000" max="11000" width="0.5" style="98" customWidth="1"/>
    <col min="11001" max="11001" width="31.25" style="98" customWidth="1"/>
    <col min="11002" max="11002" width="33.5" style="98" customWidth="1"/>
    <col min="11003" max="11003" width="2.625" style="98" customWidth="1"/>
    <col min="11004" max="11004" width="10.375" style="98" customWidth="1"/>
    <col min="11005" max="11005" width="10.875" style="98" customWidth="1"/>
    <col min="11006" max="11006" width="14.25" style="98" customWidth="1"/>
    <col min="11007" max="11007" width="10.875" style="98" customWidth="1"/>
    <col min="11008" max="11014" width="0" style="98" hidden="1" customWidth="1"/>
    <col min="11015" max="11015" width="9" style="98"/>
    <col min="11016" max="11016" width="10.875" style="98" bestFit="1" customWidth="1"/>
    <col min="11017" max="11247" width="9" style="98"/>
    <col min="11248" max="11248" width="1.5" style="98" customWidth="1"/>
    <col min="11249" max="11249" width="0.75" style="98" customWidth="1"/>
    <col min="11250" max="11255" width="1" style="98" customWidth="1"/>
    <col min="11256" max="11256" width="0.5" style="98" customWidth="1"/>
    <col min="11257" max="11257" width="31.25" style="98" customWidth="1"/>
    <col min="11258" max="11258" width="33.5" style="98" customWidth="1"/>
    <col min="11259" max="11259" width="2.625" style="98" customWidth="1"/>
    <col min="11260" max="11260" width="10.375" style="98" customWidth="1"/>
    <col min="11261" max="11261" width="10.875" style="98" customWidth="1"/>
    <col min="11262" max="11262" width="14.25" style="98" customWidth="1"/>
    <col min="11263" max="11263" width="10.875" style="98" customWidth="1"/>
    <col min="11264" max="11270" width="0" style="98" hidden="1" customWidth="1"/>
    <col min="11271" max="11271" width="9" style="98"/>
    <col min="11272" max="11272" width="10.875" style="98" bestFit="1" customWidth="1"/>
    <col min="11273" max="11503" width="9" style="98"/>
    <col min="11504" max="11504" width="1.5" style="98" customWidth="1"/>
    <col min="11505" max="11505" width="0.75" style="98" customWidth="1"/>
    <col min="11506" max="11511" width="1" style="98" customWidth="1"/>
    <col min="11512" max="11512" width="0.5" style="98" customWidth="1"/>
    <col min="11513" max="11513" width="31.25" style="98" customWidth="1"/>
    <col min="11514" max="11514" width="33.5" style="98" customWidth="1"/>
    <col min="11515" max="11515" width="2.625" style="98" customWidth="1"/>
    <col min="11516" max="11516" width="10.375" style="98" customWidth="1"/>
    <col min="11517" max="11517" width="10.875" style="98" customWidth="1"/>
    <col min="11518" max="11518" width="14.25" style="98" customWidth="1"/>
    <col min="11519" max="11519" width="10.875" style="98" customWidth="1"/>
    <col min="11520" max="11526" width="0" style="98" hidden="1" customWidth="1"/>
    <col min="11527" max="11527" width="9" style="98"/>
    <col min="11528" max="11528" width="10.875" style="98" bestFit="1" customWidth="1"/>
    <col min="11529" max="11759" width="9" style="98"/>
    <col min="11760" max="11760" width="1.5" style="98" customWidth="1"/>
    <col min="11761" max="11761" width="0.75" style="98" customWidth="1"/>
    <col min="11762" max="11767" width="1" style="98" customWidth="1"/>
    <col min="11768" max="11768" width="0.5" style="98" customWidth="1"/>
    <col min="11769" max="11769" width="31.25" style="98" customWidth="1"/>
    <col min="11770" max="11770" width="33.5" style="98" customWidth="1"/>
    <col min="11771" max="11771" width="2.625" style="98" customWidth="1"/>
    <col min="11772" max="11772" width="10.375" style="98" customWidth="1"/>
    <col min="11773" max="11773" width="10.875" style="98" customWidth="1"/>
    <col min="11774" max="11774" width="14.25" style="98" customWidth="1"/>
    <col min="11775" max="11775" width="10.875" style="98" customWidth="1"/>
    <col min="11776" max="11782" width="0" style="98" hidden="1" customWidth="1"/>
    <col min="11783" max="11783" width="9" style="98"/>
    <col min="11784" max="11784" width="10.875" style="98" bestFit="1" customWidth="1"/>
    <col min="11785" max="12015" width="9" style="98"/>
    <col min="12016" max="12016" width="1.5" style="98" customWidth="1"/>
    <col min="12017" max="12017" width="0.75" style="98" customWidth="1"/>
    <col min="12018" max="12023" width="1" style="98" customWidth="1"/>
    <col min="12024" max="12024" width="0.5" style="98" customWidth="1"/>
    <col min="12025" max="12025" width="31.25" style="98" customWidth="1"/>
    <col min="12026" max="12026" width="33.5" style="98" customWidth="1"/>
    <col min="12027" max="12027" width="2.625" style="98" customWidth="1"/>
    <col min="12028" max="12028" width="10.375" style="98" customWidth="1"/>
    <col min="12029" max="12029" width="10.875" style="98" customWidth="1"/>
    <col min="12030" max="12030" width="14.25" style="98" customWidth="1"/>
    <col min="12031" max="12031" width="10.875" style="98" customWidth="1"/>
    <col min="12032" max="12038" width="0" style="98" hidden="1" customWidth="1"/>
    <col min="12039" max="12039" width="9" style="98"/>
    <col min="12040" max="12040" width="10.875" style="98" bestFit="1" customWidth="1"/>
    <col min="12041" max="12271" width="9" style="98"/>
    <col min="12272" max="12272" width="1.5" style="98" customWidth="1"/>
    <col min="12273" max="12273" width="0.75" style="98" customWidth="1"/>
    <col min="12274" max="12279" width="1" style="98" customWidth="1"/>
    <col min="12280" max="12280" width="0.5" style="98" customWidth="1"/>
    <col min="12281" max="12281" width="31.25" style="98" customWidth="1"/>
    <col min="12282" max="12282" width="33.5" style="98" customWidth="1"/>
    <col min="12283" max="12283" width="2.625" style="98" customWidth="1"/>
    <col min="12284" max="12284" width="10.375" style="98" customWidth="1"/>
    <col min="12285" max="12285" width="10.875" style="98" customWidth="1"/>
    <col min="12286" max="12286" width="14.25" style="98" customWidth="1"/>
    <col min="12287" max="12287" width="10.875" style="98" customWidth="1"/>
    <col min="12288" max="12294" width="0" style="98" hidden="1" customWidth="1"/>
    <col min="12295" max="12295" width="9" style="98"/>
    <col min="12296" max="12296" width="10.875" style="98" bestFit="1" customWidth="1"/>
    <col min="12297" max="12527" width="9" style="98"/>
    <col min="12528" max="12528" width="1.5" style="98" customWidth="1"/>
    <col min="12529" max="12529" width="0.75" style="98" customWidth="1"/>
    <col min="12530" max="12535" width="1" style="98" customWidth="1"/>
    <col min="12536" max="12536" width="0.5" style="98" customWidth="1"/>
    <col min="12537" max="12537" width="31.25" style="98" customWidth="1"/>
    <col min="12538" max="12538" width="33.5" style="98" customWidth="1"/>
    <col min="12539" max="12539" width="2.625" style="98" customWidth="1"/>
    <col min="12540" max="12540" width="10.375" style="98" customWidth="1"/>
    <col min="12541" max="12541" width="10.875" style="98" customWidth="1"/>
    <col min="12542" max="12542" width="14.25" style="98" customWidth="1"/>
    <col min="12543" max="12543" width="10.875" style="98" customWidth="1"/>
    <col min="12544" max="12550" width="0" style="98" hidden="1" customWidth="1"/>
    <col min="12551" max="12551" width="9" style="98"/>
    <col min="12552" max="12552" width="10.875" style="98" bestFit="1" customWidth="1"/>
    <col min="12553" max="12783" width="9" style="98"/>
    <col min="12784" max="12784" width="1.5" style="98" customWidth="1"/>
    <col min="12785" max="12785" width="0.75" style="98" customWidth="1"/>
    <col min="12786" max="12791" width="1" style="98" customWidth="1"/>
    <col min="12792" max="12792" width="0.5" style="98" customWidth="1"/>
    <col min="12793" max="12793" width="31.25" style="98" customWidth="1"/>
    <col min="12794" max="12794" width="33.5" style="98" customWidth="1"/>
    <col min="12795" max="12795" width="2.625" style="98" customWidth="1"/>
    <col min="12796" max="12796" width="10.375" style="98" customWidth="1"/>
    <col min="12797" max="12797" width="10.875" style="98" customWidth="1"/>
    <col min="12798" max="12798" width="14.25" style="98" customWidth="1"/>
    <col min="12799" max="12799" width="10.875" style="98" customWidth="1"/>
    <col min="12800" max="12806" width="0" style="98" hidden="1" customWidth="1"/>
    <col min="12807" max="12807" width="9" style="98"/>
    <col min="12808" max="12808" width="10.875" style="98" bestFit="1" customWidth="1"/>
    <col min="12809" max="13039" width="9" style="98"/>
    <col min="13040" max="13040" width="1.5" style="98" customWidth="1"/>
    <col min="13041" max="13041" width="0.75" style="98" customWidth="1"/>
    <col min="13042" max="13047" width="1" style="98" customWidth="1"/>
    <col min="13048" max="13048" width="0.5" style="98" customWidth="1"/>
    <col min="13049" max="13049" width="31.25" style="98" customWidth="1"/>
    <col min="13050" max="13050" width="33.5" style="98" customWidth="1"/>
    <col min="13051" max="13051" width="2.625" style="98" customWidth="1"/>
    <col min="13052" max="13052" width="10.375" style="98" customWidth="1"/>
    <col min="13053" max="13053" width="10.875" style="98" customWidth="1"/>
    <col min="13054" max="13054" width="14.25" style="98" customWidth="1"/>
    <col min="13055" max="13055" width="10.875" style="98" customWidth="1"/>
    <col min="13056" max="13062" width="0" style="98" hidden="1" customWidth="1"/>
    <col min="13063" max="13063" width="9" style="98"/>
    <col min="13064" max="13064" width="10.875" style="98" bestFit="1" customWidth="1"/>
    <col min="13065" max="13295" width="9" style="98"/>
    <col min="13296" max="13296" width="1.5" style="98" customWidth="1"/>
    <col min="13297" max="13297" width="0.75" style="98" customWidth="1"/>
    <col min="13298" max="13303" width="1" style="98" customWidth="1"/>
    <col min="13304" max="13304" width="0.5" style="98" customWidth="1"/>
    <col min="13305" max="13305" width="31.25" style="98" customWidth="1"/>
    <col min="13306" max="13306" width="33.5" style="98" customWidth="1"/>
    <col min="13307" max="13307" width="2.625" style="98" customWidth="1"/>
    <col min="13308" max="13308" width="10.375" style="98" customWidth="1"/>
    <col min="13309" max="13309" width="10.875" style="98" customWidth="1"/>
    <col min="13310" max="13310" width="14.25" style="98" customWidth="1"/>
    <col min="13311" max="13311" width="10.875" style="98" customWidth="1"/>
    <col min="13312" max="13318" width="0" style="98" hidden="1" customWidth="1"/>
    <col min="13319" max="13319" width="9" style="98"/>
    <col min="13320" max="13320" width="10.875" style="98" bestFit="1" customWidth="1"/>
    <col min="13321" max="13551" width="9" style="98"/>
    <col min="13552" max="13552" width="1.5" style="98" customWidth="1"/>
    <col min="13553" max="13553" width="0.75" style="98" customWidth="1"/>
    <col min="13554" max="13559" width="1" style="98" customWidth="1"/>
    <col min="13560" max="13560" width="0.5" style="98" customWidth="1"/>
    <col min="13561" max="13561" width="31.25" style="98" customWidth="1"/>
    <col min="13562" max="13562" width="33.5" style="98" customWidth="1"/>
    <col min="13563" max="13563" width="2.625" style="98" customWidth="1"/>
    <col min="13564" max="13564" width="10.375" style="98" customWidth="1"/>
    <col min="13565" max="13565" width="10.875" style="98" customWidth="1"/>
    <col min="13566" max="13566" width="14.25" style="98" customWidth="1"/>
    <col min="13567" max="13567" width="10.875" style="98" customWidth="1"/>
    <col min="13568" max="13574" width="0" style="98" hidden="1" customWidth="1"/>
    <col min="13575" max="13575" width="9" style="98"/>
    <col min="13576" max="13576" width="10.875" style="98" bestFit="1" customWidth="1"/>
    <col min="13577" max="13807" width="9" style="98"/>
    <col min="13808" max="13808" width="1.5" style="98" customWidth="1"/>
    <col min="13809" max="13809" width="0.75" style="98" customWidth="1"/>
    <col min="13810" max="13815" width="1" style="98" customWidth="1"/>
    <col min="13816" max="13816" width="0.5" style="98" customWidth="1"/>
    <col min="13817" max="13817" width="31.25" style="98" customWidth="1"/>
    <col min="13818" max="13818" width="33.5" style="98" customWidth="1"/>
    <col min="13819" max="13819" width="2.625" style="98" customWidth="1"/>
    <col min="13820" max="13820" width="10.375" style="98" customWidth="1"/>
    <col min="13821" max="13821" width="10.875" style="98" customWidth="1"/>
    <col min="13822" max="13822" width="14.25" style="98" customWidth="1"/>
    <col min="13823" max="13823" width="10.875" style="98" customWidth="1"/>
    <col min="13824" max="13830" width="0" style="98" hidden="1" customWidth="1"/>
    <col min="13831" max="13831" width="9" style="98"/>
    <col min="13832" max="13832" width="10.875" style="98" bestFit="1" customWidth="1"/>
    <col min="13833" max="14063" width="9" style="98"/>
    <col min="14064" max="14064" width="1.5" style="98" customWidth="1"/>
    <col min="14065" max="14065" width="0.75" style="98" customWidth="1"/>
    <col min="14066" max="14071" width="1" style="98" customWidth="1"/>
    <col min="14072" max="14072" width="0.5" style="98" customWidth="1"/>
    <col min="14073" max="14073" width="31.25" style="98" customWidth="1"/>
    <col min="14074" max="14074" width="33.5" style="98" customWidth="1"/>
    <col min="14075" max="14075" width="2.625" style="98" customWidth="1"/>
    <col min="14076" max="14076" width="10.375" style="98" customWidth="1"/>
    <col min="14077" max="14077" width="10.875" style="98" customWidth="1"/>
    <col min="14078" max="14078" width="14.25" style="98" customWidth="1"/>
    <col min="14079" max="14079" width="10.875" style="98" customWidth="1"/>
    <col min="14080" max="14086" width="0" style="98" hidden="1" customWidth="1"/>
    <col min="14087" max="14087" width="9" style="98"/>
    <col min="14088" max="14088" width="10.875" style="98" bestFit="1" customWidth="1"/>
    <col min="14089" max="14319" width="9" style="98"/>
    <col min="14320" max="14320" width="1.5" style="98" customWidth="1"/>
    <col min="14321" max="14321" width="0.75" style="98" customWidth="1"/>
    <col min="14322" max="14327" width="1" style="98" customWidth="1"/>
    <col min="14328" max="14328" width="0.5" style="98" customWidth="1"/>
    <col min="14329" max="14329" width="31.25" style="98" customWidth="1"/>
    <col min="14330" max="14330" width="33.5" style="98" customWidth="1"/>
    <col min="14331" max="14331" width="2.625" style="98" customWidth="1"/>
    <col min="14332" max="14332" width="10.375" style="98" customWidth="1"/>
    <col min="14333" max="14333" width="10.875" style="98" customWidth="1"/>
    <col min="14334" max="14334" width="14.25" style="98" customWidth="1"/>
    <col min="14335" max="14335" width="10.875" style="98" customWidth="1"/>
    <col min="14336" max="14342" width="0" style="98" hidden="1" customWidth="1"/>
    <col min="14343" max="14343" width="9" style="98"/>
    <col min="14344" max="14344" width="10.875" style="98" bestFit="1" customWidth="1"/>
    <col min="14345" max="14575" width="9" style="98"/>
    <col min="14576" max="14576" width="1.5" style="98" customWidth="1"/>
    <col min="14577" max="14577" width="0.75" style="98" customWidth="1"/>
    <col min="14578" max="14583" width="1" style="98" customWidth="1"/>
    <col min="14584" max="14584" width="0.5" style="98" customWidth="1"/>
    <col min="14585" max="14585" width="31.25" style="98" customWidth="1"/>
    <col min="14586" max="14586" width="33.5" style="98" customWidth="1"/>
    <col min="14587" max="14587" width="2.625" style="98" customWidth="1"/>
    <col min="14588" max="14588" width="10.375" style="98" customWidth="1"/>
    <col min="14589" max="14589" width="10.875" style="98" customWidth="1"/>
    <col min="14590" max="14590" width="14.25" style="98" customWidth="1"/>
    <col min="14591" max="14591" width="10.875" style="98" customWidth="1"/>
    <col min="14592" max="14598" width="0" style="98" hidden="1" customWidth="1"/>
    <col min="14599" max="14599" width="9" style="98"/>
    <col min="14600" max="14600" width="10.875" style="98" bestFit="1" customWidth="1"/>
    <col min="14601" max="14831" width="9" style="98"/>
    <col min="14832" max="14832" width="1.5" style="98" customWidth="1"/>
    <col min="14833" max="14833" width="0.75" style="98" customWidth="1"/>
    <col min="14834" max="14839" width="1" style="98" customWidth="1"/>
    <col min="14840" max="14840" width="0.5" style="98" customWidth="1"/>
    <col min="14841" max="14841" width="31.25" style="98" customWidth="1"/>
    <col min="14842" max="14842" width="33.5" style="98" customWidth="1"/>
    <col min="14843" max="14843" width="2.625" style="98" customWidth="1"/>
    <col min="14844" max="14844" width="10.375" style="98" customWidth="1"/>
    <col min="14845" max="14845" width="10.875" style="98" customWidth="1"/>
    <col min="14846" max="14846" width="14.25" style="98" customWidth="1"/>
    <col min="14847" max="14847" width="10.875" style="98" customWidth="1"/>
    <col min="14848" max="14854" width="0" style="98" hidden="1" customWidth="1"/>
    <col min="14855" max="14855" width="9" style="98"/>
    <col min="14856" max="14856" width="10.875" style="98" bestFit="1" customWidth="1"/>
    <col min="14857" max="15087" width="9" style="98"/>
    <col min="15088" max="15088" width="1.5" style="98" customWidth="1"/>
    <col min="15089" max="15089" width="0.75" style="98" customWidth="1"/>
    <col min="15090" max="15095" width="1" style="98" customWidth="1"/>
    <col min="15096" max="15096" width="0.5" style="98" customWidth="1"/>
    <col min="15097" max="15097" width="31.25" style="98" customWidth="1"/>
    <col min="15098" max="15098" width="33.5" style="98" customWidth="1"/>
    <col min="15099" max="15099" width="2.625" style="98" customWidth="1"/>
    <col min="15100" max="15100" width="10.375" style="98" customWidth="1"/>
    <col min="15101" max="15101" width="10.875" style="98" customWidth="1"/>
    <col min="15102" max="15102" width="14.25" style="98" customWidth="1"/>
    <col min="15103" max="15103" width="10.875" style="98" customWidth="1"/>
    <col min="15104" max="15110" width="0" style="98" hidden="1" customWidth="1"/>
    <col min="15111" max="15111" width="9" style="98"/>
    <col min="15112" max="15112" width="10.875" style="98" bestFit="1" customWidth="1"/>
    <col min="15113" max="15343" width="9" style="98"/>
    <col min="15344" max="15344" width="1.5" style="98" customWidth="1"/>
    <col min="15345" max="15345" width="0.75" style="98" customWidth="1"/>
    <col min="15346" max="15351" width="1" style="98" customWidth="1"/>
    <col min="15352" max="15352" width="0.5" style="98" customWidth="1"/>
    <col min="15353" max="15353" width="31.25" style="98" customWidth="1"/>
    <col min="15354" max="15354" width="33.5" style="98" customWidth="1"/>
    <col min="15355" max="15355" width="2.625" style="98" customWidth="1"/>
    <col min="15356" max="15356" width="10.375" style="98" customWidth="1"/>
    <col min="15357" max="15357" width="10.875" style="98" customWidth="1"/>
    <col min="15358" max="15358" width="14.25" style="98" customWidth="1"/>
    <col min="15359" max="15359" width="10.875" style="98" customWidth="1"/>
    <col min="15360" max="15366" width="0" style="98" hidden="1" customWidth="1"/>
    <col min="15367" max="15367" width="9" style="98"/>
    <col min="15368" max="15368" width="10.875" style="98" bestFit="1" customWidth="1"/>
    <col min="15369" max="15599" width="9" style="98"/>
    <col min="15600" max="15600" width="1.5" style="98" customWidth="1"/>
    <col min="15601" max="15601" width="0.75" style="98" customWidth="1"/>
    <col min="15602" max="15607" width="1" style="98" customWidth="1"/>
    <col min="15608" max="15608" width="0.5" style="98" customWidth="1"/>
    <col min="15609" max="15609" width="31.25" style="98" customWidth="1"/>
    <col min="15610" max="15610" width="33.5" style="98" customWidth="1"/>
    <col min="15611" max="15611" width="2.625" style="98" customWidth="1"/>
    <col min="15612" max="15612" width="10.375" style="98" customWidth="1"/>
    <col min="15613" max="15613" width="10.875" style="98" customWidth="1"/>
    <col min="15614" max="15614" width="14.25" style="98" customWidth="1"/>
    <col min="15615" max="15615" width="10.875" style="98" customWidth="1"/>
    <col min="15616" max="15622" width="0" style="98" hidden="1" customWidth="1"/>
    <col min="15623" max="15623" width="9" style="98"/>
    <col min="15624" max="15624" width="10.875" style="98" bestFit="1" customWidth="1"/>
    <col min="15625" max="15855" width="9" style="98"/>
    <col min="15856" max="15856" width="1.5" style="98" customWidth="1"/>
    <col min="15857" max="15857" width="0.75" style="98" customWidth="1"/>
    <col min="15858" max="15863" width="1" style="98" customWidth="1"/>
    <col min="15864" max="15864" width="0.5" style="98" customWidth="1"/>
    <col min="15865" max="15865" width="31.25" style="98" customWidth="1"/>
    <col min="15866" max="15866" width="33.5" style="98" customWidth="1"/>
    <col min="15867" max="15867" width="2.625" style="98" customWidth="1"/>
    <col min="15868" max="15868" width="10.375" style="98" customWidth="1"/>
    <col min="15869" max="15869" width="10.875" style="98" customWidth="1"/>
    <col min="15870" max="15870" width="14.25" style="98" customWidth="1"/>
    <col min="15871" max="15871" width="10.875" style="98" customWidth="1"/>
    <col min="15872" max="15878" width="0" style="98" hidden="1" customWidth="1"/>
    <col min="15879" max="15879" width="9" style="98"/>
    <col min="15880" max="15880" width="10.875" style="98" bestFit="1" customWidth="1"/>
    <col min="15881" max="16111" width="9" style="98"/>
    <col min="16112" max="16112" width="1.5" style="98" customWidth="1"/>
    <col min="16113" max="16113" width="0.75" style="98" customWidth="1"/>
    <col min="16114" max="16119" width="1" style="98" customWidth="1"/>
    <col min="16120" max="16120" width="0.5" style="98" customWidth="1"/>
    <col min="16121" max="16121" width="31.25" style="98" customWidth="1"/>
    <col min="16122" max="16122" width="33.5" style="98" customWidth="1"/>
    <col min="16123" max="16123" width="2.625" style="98" customWidth="1"/>
    <col min="16124" max="16124" width="10.375" style="98" customWidth="1"/>
    <col min="16125" max="16125" width="10.875" style="98" customWidth="1"/>
    <col min="16126" max="16126" width="14.25" style="98" customWidth="1"/>
    <col min="16127" max="16127" width="10.875" style="98" customWidth="1"/>
    <col min="16128" max="16134" width="0" style="98" hidden="1" customWidth="1"/>
    <col min="16135" max="16135" width="9" style="98"/>
    <col min="16136" max="16136" width="10.875" style="98" bestFit="1" customWidth="1"/>
    <col min="16137" max="16384" width="9" style="98"/>
  </cols>
  <sheetData>
    <row r="1" spans="1:17" ht="20.100000000000001" customHeight="1">
      <c r="A1" s="546" t="s">
        <v>1156</v>
      </c>
      <c r="B1" s="546"/>
      <c r="C1" s="546"/>
      <c r="D1" s="546"/>
      <c r="E1" s="546"/>
      <c r="F1" s="546"/>
      <c r="G1" s="546"/>
      <c r="H1" s="546"/>
      <c r="I1" s="546"/>
      <c r="J1" s="546"/>
      <c r="K1" s="546"/>
      <c r="L1" s="546"/>
      <c r="M1" s="546"/>
      <c r="N1" s="546"/>
      <c r="O1" s="546"/>
      <c r="P1" s="209"/>
      <c r="Q1" s="190"/>
    </row>
    <row r="2" spans="1:17" s="82" customFormat="1" ht="5.0999999999999996" customHeight="1">
      <c r="A2" s="258"/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7"/>
      <c r="O2" s="257"/>
      <c r="P2" s="259"/>
      <c r="Q2" s="257"/>
    </row>
    <row r="3" spans="1:17" s="267" customFormat="1" ht="20.100000000000001" customHeight="1">
      <c r="A3" s="499" t="s">
        <v>1151</v>
      </c>
      <c r="B3" s="499"/>
      <c r="C3" s="499"/>
      <c r="D3" s="499"/>
      <c r="E3" s="499"/>
      <c r="F3" s="499"/>
      <c r="G3" s="499"/>
      <c r="H3" s="499"/>
      <c r="I3" s="499"/>
      <c r="J3" s="499"/>
      <c r="K3" s="499"/>
      <c r="L3" s="499"/>
      <c r="M3" s="499"/>
      <c r="N3" s="500" t="s">
        <v>1991</v>
      </c>
      <c r="O3" s="500"/>
      <c r="P3" s="271"/>
      <c r="Q3" s="266"/>
    </row>
    <row r="4" spans="1:17" ht="20.100000000000001" customHeight="1">
      <c r="A4" s="547" t="s">
        <v>843</v>
      </c>
      <c r="B4" s="548"/>
      <c r="C4" s="548"/>
      <c r="D4" s="548"/>
      <c r="E4" s="548"/>
      <c r="F4" s="548"/>
      <c r="G4" s="548"/>
      <c r="H4" s="548"/>
      <c r="I4" s="548"/>
      <c r="J4" s="548"/>
      <c r="K4" s="548"/>
      <c r="L4" s="549"/>
      <c r="M4" s="550" t="s">
        <v>2</v>
      </c>
      <c r="N4" s="550" t="s">
        <v>3</v>
      </c>
      <c r="O4" s="550" t="s">
        <v>1191</v>
      </c>
      <c r="P4" s="216"/>
      <c r="Q4" s="539" t="s">
        <v>1194</v>
      </c>
    </row>
    <row r="5" spans="1:17" ht="20.100000000000001" customHeight="1">
      <c r="A5" s="541" t="s">
        <v>844</v>
      </c>
      <c r="B5" s="395"/>
      <c r="C5" s="395"/>
      <c r="D5" s="395"/>
      <c r="E5" s="395"/>
      <c r="F5" s="395"/>
      <c r="G5" s="395"/>
      <c r="H5" s="395"/>
      <c r="I5" s="395"/>
      <c r="J5" s="395"/>
      <c r="K5" s="395"/>
      <c r="L5" s="396"/>
      <c r="M5" s="396"/>
      <c r="N5" s="396"/>
      <c r="O5" s="396"/>
      <c r="P5" s="216"/>
      <c r="Q5" s="540"/>
    </row>
    <row r="6" spans="1:17" ht="20.100000000000001" customHeight="1">
      <c r="A6" s="542" t="s">
        <v>823</v>
      </c>
      <c r="B6" s="400"/>
      <c r="C6" s="400"/>
      <c r="D6" s="400"/>
      <c r="E6" s="400"/>
      <c r="F6" s="400"/>
      <c r="G6" s="400"/>
      <c r="H6" s="400"/>
      <c r="I6" s="400"/>
      <c r="J6" s="400"/>
      <c r="K6" s="400"/>
      <c r="L6" s="401"/>
      <c r="M6" s="83">
        <f>M7+M17</f>
        <v>607162</v>
      </c>
      <c r="N6" s="83">
        <f>N7+N17</f>
        <v>602649</v>
      </c>
      <c r="O6" s="83">
        <f>O7+O17</f>
        <v>4513</v>
      </c>
      <c r="P6" s="175"/>
      <c r="Q6" s="217"/>
    </row>
    <row r="7" spans="1:17" ht="24.95" customHeight="1">
      <c r="A7" s="543" t="s">
        <v>845</v>
      </c>
      <c r="B7" s="544"/>
      <c r="C7" s="544"/>
      <c r="D7" s="544"/>
      <c r="E7" s="544" t="s">
        <v>847</v>
      </c>
      <c r="F7" s="544"/>
      <c r="G7" s="544"/>
      <c r="H7" s="544"/>
      <c r="I7" s="544"/>
      <c r="J7" s="544"/>
      <c r="K7" s="544"/>
      <c r="L7" s="545"/>
      <c r="M7" s="191">
        <f>+M8</f>
        <v>607162</v>
      </c>
      <c r="N7" s="191">
        <f t="shared" ref="N7:O7" si="0">+N8</f>
        <v>602649</v>
      </c>
      <c r="O7" s="191">
        <f t="shared" si="0"/>
        <v>4513</v>
      </c>
      <c r="P7" s="177"/>
      <c r="Q7" s="218"/>
    </row>
    <row r="8" spans="1:17" ht="24.95" customHeight="1">
      <c r="A8" s="192"/>
      <c r="B8" s="544" t="s">
        <v>848</v>
      </c>
      <c r="C8" s="544"/>
      <c r="D8" s="544"/>
      <c r="E8" s="544"/>
      <c r="F8" s="544" t="s">
        <v>849</v>
      </c>
      <c r="G8" s="544"/>
      <c r="H8" s="544"/>
      <c r="I8" s="544"/>
      <c r="J8" s="544"/>
      <c r="K8" s="544"/>
      <c r="L8" s="545"/>
      <c r="M8" s="193">
        <f>+M9++M15</f>
        <v>607162</v>
      </c>
      <c r="N8" s="193">
        <f>+N9+N15</f>
        <v>602649</v>
      </c>
      <c r="O8" s="193">
        <f>+O9+O15</f>
        <v>4513</v>
      </c>
      <c r="P8" s="177"/>
      <c r="Q8" s="218"/>
    </row>
    <row r="9" spans="1:17" ht="24.95" customHeight="1">
      <c r="A9" s="192"/>
      <c r="B9" s="107"/>
      <c r="C9" s="536" t="s">
        <v>870</v>
      </c>
      <c r="D9" s="537"/>
      <c r="E9" s="537"/>
      <c r="F9" s="537"/>
      <c r="G9" s="537" t="s">
        <v>871</v>
      </c>
      <c r="H9" s="537"/>
      <c r="I9" s="537"/>
      <c r="J9" s="537"/>
      <c r="K9" s="537"/>
      <c r="L9" s="538"/>
      <c r="M9" s="193">
        <f>+SUM(M10:M14)</f>
        <v>10100</v>
      </c>
      <c r="N9" s="193">
        <f>+SUM(N10:N14)</f>
        <v>10960</v>
      </c>
      <c r="O9" s="193">
        <f>+SUM(O10:O14)</f>
        <v>-860</v>
      </c>
      <c r="P9" s="177"/>
      <c r="Q9" s="218"/>
    </row>
    <row r="10" spans="1:17" s="93" customFormat="1" ht="24.95" customHeight="1">
      <c r="A10" s="194"/>
      <c r="B10" s="89"/>
      <c r="C10" s="104"/>
      <c r="D10" s="105"/>
      <c r="E10" s="471" t="s">
        <v>872</v>
      </c>
      <c r="F10" s="471"/>
      <c r="G10" s="471"/>
      <c r="H10" s="471"/>
      <c r="I10" s="391" t="s">
        <v>1103</v>
      </c>
      <c r="J10" s="391"/>
      <c r="K10" s="391"/>
      <c r="L10" s="479"/>
      <c r="M10" s="91"/>
      <c r="N10" s="91"/>
      <c r="O10" s="91"/>
      <c r="P10" s="178"/>
      <c r="Q10" s="219"/>
    </row>
    <row r="11" spans="1:17" s="111" customFormat="1" ht="24.95" customHeight="1">
      <c r="A11" s="192"/>
      <c r="B11" s="107"/>
      <c r="C11" s="107"/>
      <c r="D11" s="241"/>
      <c r="E11" s="491" t="s">
        <v>1120</v>
      </c>
      <c r="F11" s="492"/>
      <c r="G11" s="492"/>
      <c r="H11" s="492"/>
      <c r="I11" s="492"/>
      <c r="J11" s="492"/>
      <c r="K11" s="108"/>
      <c r="L11" s="249">
        <f>L13</f>
        <v>10100</v>
      </c>
      <c r="M11" s="110"/>
      <c r="N11" s="110"/>
      <c r="O11" s="110"/>
      <c r="P11" s="177"/>
      <c r="Q11" s="220"/>
    </row>
    <row r="12" spans="1:17" s="113" customFormat="1" ht="24.95" customHeight="1">
      <c r="A12" s="192"/>
      <c r="B12" s="107"/>
      <c r="C12" s="107"/>
      <c r="D12" s="241"/>
      <c r="E12" s="472" t="s">
        <v>1121</v>
      </c>
      <c r="F12" s="473"/>
      <c r="G12" s="473"/>
      <c r="H12" s="473"/>
      <c r="I12" s="473"/>
      <c r="J12" s="474"/>
      <c r="K12" s="474"/>
      <c r="L12" s="109"/>
      <c r="M12" s="109"/>
      <c r="N12" s="112"/>
      <c r="O12" s="112"/>
      <c r="P12" s="221"/>
      <c r="Q12" s="222"/>
    </row>
    <row r="13" spans="1:17" s="113" customFormat="1" ht="24.95" customHeight="1">
      <c r="A13" s="192"/>
      <c r="B13" s="107"/>
      <c r="C13" s="107"/>
      <c r="D13" s="241"/>
      <c r="E13" s="472"/>
      <c r="F13" s="473"/>
      <c r="G13" s="473"/>
      <c r="H13" s="473"/>
      <c r="I13" s="473"/>
      <c r="J13" s="474" t="s">
        <v>1305</v>
      </c>
      <c r="K13" s="474"/>
      <c r="L13" s="109">
        <f>ROUNDDOWN(10100000*0.001,0)</f>
        <v>10100</v>
      </c>
      <c r="M13" s="325">
        <f>+L13</f>
        <v>10100</v>
      </c>
      <c r="N13" s="326">
        <v>10960</v>
      </c>
      <c r="O13" s="326">
        <f>+M13-N13</f>
        <v>-860</v>
      </c>
      <c r="P13" s="337"/>
      <c r="Q13" s="338" t="s">
        <v>1306</v>
      </c>
    </row>
    <row r="14" spans="1:17" s="113" customFormat="1" ht="24.95" customHeight="1">
      <c r="A14" s="192"/>
      <c r="B14" s="107"/>
      <c r="C14" s="107"/>
      <c r="D14" s="241"/>
      <c r="E14" s="242"/>
      <c r="F14" s="243"/>
      <c r="G14" s="243"/>
      <c r="H14" s="243"/>
      <c r="I14" s="243"/>
      <c r="J14" s="244"/>
      <c r="K14" s="244"/>
      <c r="L14" s="109"/>
      <c r="M14" s="109"/>
      <c r="N14" s="112"/>
      <c r="O14" s="112"/>
      <c r="P14" s="221"/>
      <c r="Q14" s="220"/>
    </row>
    <row r="15" spans="1:17" ht="24.95" customHeight="1">
      <c r="A15" s="192"/>
      <c r="B15" s="107"/>
      <c r="C15" s="536" t="s">
        <v>888</v>
      </c>
      <c r="D15" s="537"/>
      <c r="E15" s="537"/>
      <c r="F15" s="537"/>
      <c r="G15" s="537" t="s">
        <v>889</v>
      </c>
      <c r="H15" s="537"/>
      <c r="I15" s="537"/>
      <c r="J15" s="537"/>
      <c r="K15" s="537"/>
      <c r="L15" s="538"/>
      <c r="M15" s="193">
        <f>+SUM(M16:M315)</f>
        <v>597062</v>
      </c>
      <c r="N15" s="193">
        <f>+SUM(N16:N315)</f>
        <v>591689</v>
      </c>
      <c r="O15" s="193">
        <f>SUM(O16:O315)</f>
        <v>5373</v>
      </c>
      <c r="P15" s="177"/>
      <c r="Q15" s="218"/>
    </row>
    <row r="16" spans="1:17" s="93" customFormat="1" ht="24.95" customHeight="1">
      <c r="A16" s="194"/>
      <c r="B16" s="89"/>
      <c r="C16" s="104"/>
      <c r="D16" s="105"/>
      <c r="E16" s="471" t="s">
        <v>1307</v>
      </c>
      <c r="F16" s="471"/>
      <c r="G16" s="471"/>
      <c r="H16" s="471"/>
      <c r="I16" s="391" t="s">
        <v>899</v>
      </c>
      <c r="J16" s="391"/>
      <c r="K16" s="391"/>
      <c r="L16" s="479"/>
      <c r="M16" s="323"/>
      <c r="N16" s="323"/>
      <c r="O16" s="323"/>
      <c r="P16" s="335"/>
      <c r="Q16" s="339" t="s">
        <v>1308</v>
      </c>
    </row>
    <row r="17" spans="1:17" s="111" customFormat="1" ht="24.95" customHeight="1">
      <c r="A17" s="192"/>
      <c r="B17" s="107"/>
      <c r="C17" s="107"/>
      <c r="D17" s="241"/>
      <c r="E17" s="491" t="s">
        <v>1122</v>
      </c>
      <c r="F17" s="492"/>
      <c r="G17" s="492"/>
      <c r="H17" s="492"/>
      <c r="I17" s="492"/>
      <c r="J17" s="492"/>
      <c r="K17" s="108"/>
      <c r="L17" s="249">
        <f>SUM(L18:L172)</f>
        <v>416034</v>
      </c>
      <c r="M17" s="329"/>
      <c r="N17" s="329"/>
      <c r="O17" s="340"/>
      <c r="P17" s="335"/>
      <c r="Q17" s="341" t="s">
        <v>1309</v>
      </c>
    </row>
    <row r="18" spans="1:17" s="113" customFormat="1" ht="24.95" customHeight="1">
      <c r="A18" s="192"/>
      <c r="B18" s="107"/>
      <c r="C18" s="107"/>
      <c r="D18" s="241"/>
      <c r="E18" s="472" t="s">
        <v>900</v>
      </c>
      <c r="F18" s="473"/>
      <c r="G18" s="473"/>
      <c r="H18" s="473"/>
      <c r="I18" s="473"/>
      <c r="J18" s="474"/>
      <c r="K18" s="474"/>
      <c r="L18" s="109"/>
      <c r="M18" s="325"/>
      <c r="N18" s="326"/>
      <c r="O18" s="340"/>
      <c r="P18" s="335"/>
      <c r="Q18" s="341" t="s">
        <v>1310</v>
      </c>
    </row>
    <row r="19" spans="1:17" s="113" customFormat="1" ht="24.95" customHeight="1">
      <c r="A19" s="192"/>
      <c r="B19" s="107"/>
      <c r="C19" s="107"/>
      <c r="D19" s="241"/>
      <c r="E19" s="242"/>
      <c r="F19" s="243"/>
      <c r="G19" s="243"/>
      <c r="H19" s="473" t="s">
        <v>1123</v>
      </c>
      <c r="I19" s="473"/>
      <c r="J19" s="244"/>
      <c r="K19" s="244"/>
      <c r="L19" s="109"/>
      <c r="M19" s="325"/>
      <c r="N19" s="326"/>
      <c r="O19" s="340"/>
      <c r="P19" s="335"/>
      <c r="Q19" s="341"/>
    </row>
    <row r="20" spans="1:17" s="113" customFormat="1" ht="24.95" customHeight="1">
      <c r="A20" s="192"/>
      <c r="B20" s="107"/>
      <c r="C20" s="107"/>
      <c r="D20" s="241"/>
      <c r="E20" s="532" t="s">
        <v>1311</v>
      </c>
      <c r="F20" s="533"/>
      <c r="G20" s="533"/>
      <c r="H20" s="533"/>
      <c r="I20" s="533"/>
      <c r="J20" s="533"/>
      <c r="K20" s="533"/>
      <c r="L20" s="109">
        <f>ROUNDDOWN(3500*18*20*0.012,0)</f>
        <v>15120</v>
      </c>
      <c r="M20" s="325">
        <f>+L20</f>
        <v>15120</v>
      </c>
      <c r="N20" s="326">
        <f>16800</f>
        <v>16800</v>
      </c>
      <c r="O20" s="340">
        <f>+M20-N20</f>
        <v>-1680</v>
      </c>
      <c r="P20" s="335"/>
      <c r="Q20" s="341"/>
    </row>
    <row r="21" spans="1:17" s="113" customFormat="1" ht="24.95" customHeight="1">
      <c r="A21" s="192"/>
      <c r="B21" s="107"/>
      <c r="C21" s="107"/>
      <c r="D21" s="241"/>
      <c r="E21" s="245"/>
      <c r="F21" s="246"/>
      <c r="G21" s="246"/>
      <c r="H21" s="473" t="s">
        <v>1312</v>
      </c>
      <c r="I21" s="473"/>
      <c r="J21" s="246"/>
      <c r="K21" s="246"/>
      <c r="L21" s="109"/>
      <c r="M21" s="325"/>
      <c r="N21" s="326"/>
      <c r="O21" s="340"/>
      <c r="P21" s="335"/>
      <c r="Q21" s="341"/>
    </row>
    <row r="22" spans="1:17" s="113" customFormat="1" ht="24.95" customHeight="1">
      <c r="A22" s="192"/>
      <c r="B22" s="107"/>
      <c r="C22" s="107"/>
      <c r="D22" s="241"/>
      <c r="E22" s="532" t="s">
        <v>1313</v>
      </c>
      <c r="F22" s="533"/>
      <c r="G22" s="533"/>
      <c r="H22" s="533"/>
      <c r="I22" s="533"/>
      <c r="J22" s="533"/>
      <c r="K22" s="533"/>
      <c r="L22" s="109">
        <f>ROUNDDOWN(3500*6*20*12*50%/1000,0)</f>
        <v>2520</v>
      </c>
      <c r="M22" s="325">
        <f>+L22</f>
        <v>2520</v>
      </c>
      <c r="N22" s="326">
        <v>0</v>
      </c>
      <c r="O22" s="340">
        <f t="shared" ref="O22:O84" si="1">+M22-N22</f>
        <v>2520</v>
      </c>
      <c r="P22" s="327"/>
      <c r="Q22" s="341"/>
    </row>
    <row r="23" spans="1:17" s="113" customFormat="1" ht="24.95" customHeight="1">
      <c r="A23" s="192"/>
      <c r="B23" s="107"/>
      <c r="C23" s="107"/>
      <c r="D23" s="241"/>
      <c r="E23" s="242"/>
      <c r="F23" s="243"/>
      <c r="G23" s="243"/>
      <c r="H23" s="473" t="s">
        <v>1124</v>
      </c>
      <c r="I23" s="473"/>
      <c r="J23" s="244"/>
      <c r="K23" s="244"/>
      <c r="L23" s="109"/>
      <c r="M23" s="325"/>
      <c r="N23" s="326"/>
      <c r="O23" s="340"/>
      <c r="P23" s="327"/>
      <c r="Q23" s="341"/>
    </row>
    <row r="24" spans="1:17" s="113" customFormat="1" ht="24.95" customHeight="1">
      <c r="A24" s="192"/>
      <c r="B24" s="107"/>
      <c r="C24" s="107"/>
      <c r="D24" s="241"/>
      <c r="E24" s="532" t="s">
        <v>1314</v>
      </c>
      <c r="F24" s="533"/>
      <c r="G24" s="533"/>
      <c r="H24" s="533"/>
      <c r="I24" s="533"/>
      <c r="J24" s="533"/>
      <c r="K24" s="533"/>
      <c r="L24" s="109">
        <f>ROUNDDOWN(4000*35*8*0.012,0)</f>
        <v>13440</v>
      </c>
      <c r="M24" s="325">
        <f>+L24</f>
        <v>13440</v>
      </c>
      <c r="N24" s="326">
        <v>19200</v>
      </c>
      <c r="O24" s="340">
        <f t="shared" si="1"/>
        <v>-5760</v>
      </c>
      <c r="P24" s="327"/>
      <c r="Q24" s="341"/>
    </row>
    <row r="25" spans="1:17" s="113" customFormat="1" ht="24.95" customHeight="1">
      <c r="A25" s="192"/>
      <c r="B25" s="107"/>
      <c r="C25" s="107"/>
      <c r="D25" s="241"/>
      <c r="E25" s="242"/>
      <c r="F25" s="243"/>
      <c r="G25" s="243"/>
      <c r="H25" s="473" t="s">
        <v>1315</v>
      </c>
      <c r="I25" s="473"/>
      <c r="J25" s="244"/>
      <c r="K25" s="244"/>
      <c r="L25" s="109"/>
      <c r="M25" s="325"/>
      <c r="N25" s="326"/>
      <c r="O25" s="340"/>
      <c r="P25" s="327"/>
      <c r="Q25" s="341"/>
    </row>
    <row r="26" spans="1:17" s="113" customFormat="1" ht="24.95" customHeight="1">
      <c r="A26" s="192"/>
      <c r="B26" s="107"/>
      <c r="C26" s="107"/>
      <c r="D26" s="241"/>
      <c r="E26" s="532" t="s">
        <v>1316</v>
      </c>
      <c r="F26" s="533"/>
      <c r="G26" s="533"/>
      <c r="H26" s="533"/>
      <c r="I26" s="533"/>
      <c r="J26" s="533"/>
      <c r="K26" s="533"/>
      <c r="L26" s="109">
        <f>ROUNDDOWN(4000*15*8*12*50%/1000,0)</f>
        <v>2880</v>
      </c>
      <c r="M26" s="325">
        <f>+L26</f>
        <v>2880</v>
      </c>
      <c r="N26" s="326">
        <v>0</v>
      </c>
      <c r="O26" s="340">
        <f t="shared" si="1"/>
        <v>2880</v>
      </c>
      <c r="P26" s="327"/>
      <c r="Q26" s="341"/>
    </row>
    <row r="27" spans="1:17" s="113" customFormat="1" ht="24.95" customHeight="1">
      <c r="A27" s="192"/>
      <c r="B27" s="107"/>
      <c r="C27" s="107"/>
      <c r="D27" s="241"/>
      <c r="E27" s="242"/>
      <c r="F27" s="243"/>
      <c r="G27" s="243"/>
      <c r="H27" s="473" t="s">
        <v>1125</v>
      </c>
      <c r="I27" s="473"/>
      <c r="J27" s="244"/>
      <c r="K27" s="244"/>
      <c r="L27" s="109"/>
      <c r="M27" s="325"/>
      <c r="N27" s="326"/>
      <c r="O27" s="340"/>
      <c r="P27" s="327"/>
      <c r="Q27" s="341"/>
    </row>
    <row r="28" spans="1:17" s="113" customFormat="1" ht="24.95" customHeight="1">
      <c r="A28" s="192"/>
      <c r="B28" s="107"/>
      <c r="C28" s="107"/>
      <c r="D28" s="241"/>
      <c r="E28" s="532" t="s">
        <v>1317</v>
      </c>
      <c r="F28" s="533"/>
      <c r="G28" s="533"/>
      <c r="H28" s="533"/>
      <c r="I28" s="533"/>
      <c r="J28" s="533"/>
      <c r="K28" s="533"/>
      <c r="L28" s="109">
        <f>ROUNDDOWN(2100*12*20*0.012,0)</f>
        <v>6048</v>
      </c>
      <c r="M28" s="325">
        <f>+L28</f>
        <v>6048</v>
      </c>
      <c r="N28" s="326">
        <v>15120</v>
      </c>
      <c r="O28" s="340">
        <f t="shared" si="1"/>
        <v>-9072</v>
      </c>
      <c r="P28" s="327"/>
      <c r="Q28" s="341"/>
    </row>
    <row r="29" spans="1:17" s="113" customFormat="1" ht="24.95" customHeight="1">
      <c r="A29" s="192"/>
      <c r="B29" s="107"/>
      <c r="C29" s="107"/>
      <c r="D29" s="241"/>
      <c r="E29" s="242"/>
      <c r="F29" s="243"/>
      <c r="G29" s="243"/>
      <c r="H29" s="137" t="s">
        <v>1318</v>
      </c>
      <c r="I29" s="137"/>
      <c r="J29" s="244"/>
      <c r="K29" s="244"/>
      <c r="L29" s="109"/>
      <c r="M29" s="325"/>
      <c r="N29" s="326"/>
      <c r="O29" s="340"/>
      <c r="P29" s="327"/>
      <c r="Q29" s="341"/>
    </row>
    <row r="30" spans="1:17" s="113" customFormat="1" ht="24.95" customHeight="1">
      <c r="A30" s="192"/>
      <c r="B30" s="107"/>
      <c r="C30" s="107"/>
      <c r="D30" s="241"/>
      <c r="E30" s="532" t="s">
        <v>1319</v>
      </c>
      <c r="F30" s="533"/>
      <c r="G30" s="533"/>
      <c r="H30" s="533"/>
      <c r="I30" s="533"/>
      <c r="J30" s="533"/>
      <c r="K30" s="533"/>
      <c r="L30" s="109">
        <f>ROUNDDOWN(2100*8*20*12*50%/1000,0)</f>
        <v>2016</v>
      </c>
      <c r="M30" s="325">
        <f>+L30</f>
        <v>2016</v>
      </c>
      <c r="N30" s="326">
        <v>0</v>
      </c>
      <c r="O30" s="340">
        <f t="shared" si="1"/>
        <v>2016</v>
      </c>
      <c r="P30" s="327"/>
      <c r="Q30" s="341"/>
    </row>
    <row r="31" spans="1:17" s="113" customFormat="1" ht="24.95" customHeight="1">
      <c r="A31" s="192"/>
      <c r="B31" s="107"/>
      <c r="C31" s="107"/>
      <c r="D31" s="241"/>
      <c r="E31" s="242"/>
      <c r="F31" s="243"/>
      <c r="G31" s="243"/>
      <c r="H31" s="473" t="s">
        <v>1320</v>
      </c>
      <c r="I31" s="473"/>
      <c r="J31" s="244"/>
      <c r="K31" s="244"/>
      <c r="L31" s="109"/>
      <c r="M31" s="325"/>
      <c r="N31" s="326"/>
      <c r="O31" s="340"/>
      <c r="P31" s="327"/>
      <c r="Q31" s="341"/>
    </row>
    <row r="32" spans="1:17" s="113" customFormat="1" ht="24.95" customHeight="1">
      <c r="A32" s="192"/>
      <c r="B32" s="107"/>
      <c r="C32" s="107"/>
      <c r="D32" s="241"/>
      <c r="E32" s="532" t="s">
        <v>1321</v>
      </c>
      <c r="F32" s="533"/>
      <c r="G32" s="533"/>
      <c r="H32" s="533"/>
      <c r="I32" s="533"/>
      <c r="J32" s="533"/>
      <c r="K32" s="533"/>
      <c r="L32" s="109">
        <f>ROUNDDOWN(2400*18*8*0.012,0)</f>
        <v>4147</v>
      </c>
      <c r="M32" s="325">
        <f>+L32</f>
        <v>4147</v>
      </c>
      <c r="N32" s="326">
        <v>6912</v>
      </c>
      <c r="O32" s="340">
        <f t="shared" si="1"/>
        <v>-2765</v>
      </c>
      <c r="P32" s="327"/>
      <c r="Q32" s="341"/>
    </row>
    <row r="33" spans="1:17" s="113" customFormat="1" ht="24.95" customHeight="1">
      <c r="A33" s="192"/>
      <c r="B33" s="107"/>
      <c r="C33" s="107"/>
      <c r="D33" s="241"/>
      <c r="E33" s="242"/>
      <c r="F33" s="243"/>
      <c r="G33" s="243"/>
      <c r="H33" s="137" t="s">
        <v>1322</v>
      </c>
      <c r="I33" s="137"/>
      <c r="J33" s="244"/>
      <c r="K33" s="244"/>
      <c r="L33" s="109"/>
      <c r="M33" s="325"/>
      <c r="N33" s="326"/>
      <c r="O33" s="340"/>
      <c r="P33" s="327"/>
      <c r="Q33" s="341"/>
    </row>
    <row r="34" spans="1:17" s="113" customFormat="1" ht="24.95" customHeight="1">
      <c r="A34" s="192"/>
      <c r="B34" s="107"/>
      <c r="C34" s="107"/>
      <c r="D34" s="241"/>
      <c r="E34" s="532" t="s">
        <v>1323</v>
      </c>
      <c r="F34" s="533"/>
      <c r="G34" s="533"/>
      <c r="H34" s="533"/>
      <c r="I34" s="533"/>
      <c r="J34" s="533"/>
      <c r="K34" s="533"/>
      <c r="L34" s="109">
        <f>ROUNDDOWN(2400*12*8*12*50%/1000,0)</f>
        <v>1382</v>
      </c>
      <c r="M34" s="325">
        <f>+L34</f>
        <v>1382</v>
      </c>
      <c r="N34" s="326">
        <v>0</v>
      </c>
      <c r="O34" s="340">
        <f t="shared" si="1"/>
        <v>1382</v>
      </c>
      <c r="P34" s="327"/>
      <c r="Q34" s="341"/>
    </row>
    <row r="35" spans="1:17" s="113" customFormat="1" ht="24.95" customHeight="1">
      <c r="A35" s="192"/>
      <c r="B35" s="107"/>
      <c r="C35" s="107"/>
      <c r="D35" s="241"/>
      <c r="E35" s="242"/>
      <c r="F35" s="243"/>
      <c r="G35" s="243"/>
      <c r="H35" s="473" t="s">
        <v>1126</v>
      </c>
      <c r="I35" s="473"/>
      <c r="J35" s="244"/>
      <c r="K35" s="244"/>
      <c r="L35" s="109"/>
      <c r="M35" s="325"/>
      <c r="N35" s="326"/>
      <c r="O35" s="340"/>
      <c r="P35" s="327"/>
      <c r="Q35" s="341"/>
    </row>
    <row r="36" spans="1:17" s="113" customFormat="1" ht="24.95" customHeight="1">
      <c r="A36" s="192"/>
      <c r="B36" s="107"/>
      <c r="C36" s="107"/>
      <c r="D36" s="241"/>
      <c r="E36" s="532" t="s">
        <v>1324</v>
      </c>
      <c r="F36" s="533"/>
      <c r="G36" s="533"/>
      <c r="H36" s="533"/>
      <c r="I36" s="533"/>
      <c r="J36" s="533"/>
      <c r="K36" s="533"/>
      <c r="L36" s="109">
        <f>ROUNDDOWN(2000*5*29*0.012,0)</f>
        <v>3480</v>
      </c>
      <c r="M36" s="325">
        <f>+L36</f>
        <v>3480</v>
      </c>
      <c r="N36" s="326">
        <v>5568</v>
      </c>
      <c r="O36" s="340">
        <f t="shared" si="1"/>
        <v>-2088</v>
      </c>
      <c r="P36" s="327"/>
      <c r="Q36" s="341"/>
    </row>
    <row r="37" spans="1:17" s="113" customFormat="1" ht="24.95" customHeight="1">
      <c r="A37" s="192"/>
      <c r="B37" s="107"/>
      <c r="C37" s="107"/>
      <c r="D37" s="241"/>
      <c r="E37" s="242"/>
      <c r="F37" s="243"/>
      <c r="G37" s="243"/>
      <c r="H37" s="473" t="s">
        <v>1342</v>
      </c>
      <c r="I37" s="473"/>
      <c r="J37" s="244"/>
      <c r="K37" s="244"/>
      <c r="L37" s="109"/>
      <c r="M37" s="325"/>
      <c r="N37" s="326"/>
      <c r="O37" s="340"/>
      <c r="P37" s="327"/>
      <c r="Q37" s="341"/>
    </row>
    <row r="38" spans="1:17" s="113" customFormat="1" ht="24.95" customHeight="1">
      <c r="A38" s="192"/>
      <c r="B38" s="107"/>
      <c r="C38" s="107"/>
      <c r="D38" s="241"/>
      <c r="E38" s="532" t="s">
        <v>1325</v>
      </c>
      <c r="F38" s="533"/>
      <c r="G38" s="533"/>
      <c r="H38" s="533"/>
      <c r="I38" s="533"/>
      <c r="J38" s="533"/>
      <c r="K38" s="533"/>
      <c r="L38" s="109">
        <f>ROUNDDOWN(2000*5*29*12*50%/1000,0)</f>
        <v>1740</v>
      </c>
      <c r="M38" s="325">
        <f>+L38</f>
        <v>1740</v>
      </c>
      <c r="N38" s="326">
        <v>0</v>
      </c>
      <c r="O38" s="340">
        <f t="shared" si="1"/>
        <v>1740</v>
      </c>
      <c r="P38" s="327"/>
      <c r="Q38" s="341"/>
    </row>
    <row r="39" spans="1:17" s="113" customFormat="1" ht="24.95" customHeight="1">
      <c r="A39" s="192"/>
      <c r="B39" s="107"/>
      <c r="C39" s="107"/>
      <c r="D39" s="241"/>
      <c r="E39" s="472" t="s">
        <v>1326</v>
      </c>
      <c r="F39" s="473"/>
      <c r="G39" s="473"/>
      <c r="H39" s="473"/>
      <c r="I39" s="473"/>
      <c r="J39" s="474"/>
      <c r="K39" s="474"/>
      <c r="L39" s="109"/>
      <c r="M39" s="325"/>
      <c r="N39" s="326"/>
      <c r="O39" s="340"/>
      <c r="P39" s="327"/>
      <c r="Q39" s="341"/>
    </row>
    <row r="40" spans="1:17" s="113" customFormat="1" ht="24.95" customHeight="1">
      <c r="A40" s="192"/>
      <c r="B40" s="107"/>
      <c r="C40" s="107"/>
      <c r="D40" s="241"/>
      <c r="E40" s="242"/>
      <c r="F40" s="243"/>
      <c r="G40" s="243"/>
      <c r="H40" s="473" t="s">
        <v>1327</v>
      </c>
      <c r="I40" s="473"/>
      <c r="J40" s="244"/>
      <c r="K40" s="244"/>
      <c r="L40" s="109"/>
      <c r="M40" s="325"/>
      <c r="N40" s="326"/>
      <c r="O40" s="340"/>
      <c r="P40" s="327"/>
      <c r="Q40" s="341"/>
    </row>
    <row r="41" spans="1:17" s="113" customFormat="1" ht="24.95" customHeight="1">
      <c r="A41" s="192"/>
      <c r="B41" s="107"/>
      <c r="C41" s="107"/>
      <c r="D41" s="241"/>
      <c r="E41" s="532" t="s">
        <v>1328</v>
      </c>
      <c r="F41" s="533"/>
      <c r="G41" s="533"/>
      <c r="H41" s="533"/>
      <c r="I41" s="533"/>
      <c r="J41" s="533"/>
      <c r="K41" s="533"/>
      <c r="L41" s="109">
        <f>ROUNDDOWN(2100*20*40*0.005,0)</f>
        <v>8400</v>
      </c>
      <c r="M41" s="325">
        <f>+L41</f>
        <v>8400</v>
      </c>
      <c r="N41" s="326">
        <v>0</v>
      </c>
      <c r="O41" s="340">
        <f t="shared" si="1"/>
        <v>8400</v>
      </c>
      <c r="P41" s="327"/>
      <c r="Q41" s="341" t="s">
        <v>1329</v>
      </c>
    </row>
    <row r="42" spans="1:17" s="113" customFormat="1" ht="24.95" customHeight="1">
      <c r="A42" s="192"/>
      <c r="B42" s="107"/>
      <c r="C42" s="107"/>
      <c r="D42" s="241"/>
      <c r="E42" s="242"/>
      <c r="F42" s="243"/>
      <c r="G42" s="243"/>
      <c r="H42" s="473" t="s">
        <v>1330</v>
      </c>
      <c r="I42" s="473"/>
      <c r="J42" s="244"/>
      <c r="K42" s="244"/>
      <c r="L42" s="109"/>
      <c r="M42" s="325"/>
      <c r="N42" s="326"/>
      <c r="O42" s="340"/>
      <c r="P42" s="327"/>
      <c r="Q42" s="341"/>
    </row>
    <row r="43" spans="1:17" s="113" customFormat="1" ht="24.95" customHeight="1">
      <c r="A43" s="192"/>
      <c r="B43" s="107"/>
      <c r="C43" s="107"/>
      <c r="D43" s="241"/>
      <c r="E43" s="532" t="s">
        <v>1331</v>
      </c>
      <c r="F43" s="533"/>
      <c r="G43" s="533"/>
      <c r="H43" s="533"/>
      <c r="I43" s="533"/>
      <c r="J43" s="533"/>
      <c r="K43" s="533"/>
      <c r="L43" s="109">
        <f>ROUNDDOWN(2100*20*36*0.003,0)</f>
        <v>4536</v>
      </c>
      <c r="M43" s="325">
        <f>+L43</f>
        <v>4536</v>
      </c>
      <c r="N43" s="326">
        <v>0</v>
      </c>
      <c r="O43" s="340">
        <f t="shared" si="1"/>
        <v>4536</v>
      </c>
      <c r="P43" s="327"/>
      <c r="Q43" s="341" t="s">
        <v>1329</v>
      </c>
    </row>
    <row r="44" spans="1:17" s="113" customFormat="1" ht="24.95" customHeight="1">
      <c r="A44" s="192"/>
      <c r="B44" s="107"/>
      <c r="C44" s="107"/>
      <c r="D44" s="241"/>
      <c r="E44" s="472" t="s">
        <v>1127</v>
      </c>
      <c r="F44" s="473"/>
      <c r="G44" s="473"/>
      <c r="H44" s="473"/>
      <c r="I44" s="473"/>
      <c r="J44" s="474"/>
      <c r="K44" s="474"/>
      <c r="L44" s="109"/>
      <c r="M44" s="325"/>
      <c r="N44" s="326"/>
      <c r="O44" s="340"/>
      <c r="P44" s="327"/>
      <c r="Q44" s="341"/>
    </row>
    <row r="45" spans="1:17" s="113" customFormat="1" ht="24.95" customHeight="1">
      <c r="A45" s="192"/>
      <c r="B45" s="107"/>
      <c r="C45" s="107"/>
      <c r="D45" s="241"/>
      <c r="E45" s="242"/>
      <c r="F45" s="243"/>
      <c r="G45" s="243"/>
      <c r="H45" s="473" t="s">
        <v>1129</v>
      </c>
      <c r="I45" s="473"/>
      <c r="J45" s="244"/>
      <c r="K45" s="244"/>
      <c r="L45" s="109"/>
      <c r="M45" s="325"/>
      <c r="N45" s="326"/>
      <c r="O45" s="340"/>
      <c r="P45" s="327"/>
      <c r="Q45" s="341"/>
    </row>
    <row r="46" spans="1:17" s="113" customFormat="1" ht="24.95" customHeight="1">
      <c r="A46" s="192"/>
      <c r="B46" s="107"/>
      <c r="C46" s="107"/>
      <c r="D46" s="241"/>
      <c r="E46" s="532" t="s">
        <v>1128</v>
      </c>
      <c r="F46" s="533"/>
      <c r="G46" s="533"/>
      <c r="H46" s="533"/>
      <c r="I46" s="533"/>
      <c r="J46" s="533"/>
      <c r="K46" s="533"/>
      <c r="L46" s="109">
        <f>ROUNDDOWN(40000*20*0.012,0)</f>
        <v>9600</v>
      </c>
      <c r="M46" s="325">
        <f>+L46</f>
        <v>9600</v>
      </c>
      <c r="N46" s="326">
        <v>9600</v>
      </c>
      <c r="O46" s="340">
        <f t="shared" si="1"/>
        <v>0</v>
      </c>
      <c r="P46" s="327"/>
      <c r="Q46" s="341"/>
    </row>
    <row r="47" spans="1:17" s="113" customFormat="1" ht="24.95" customHeight="1">
      <c r="A47" s="192"/>
      <c r="B47" s="107"/>
      <c r="C47" s="107"/>
      <c r="D47" s="241"/>
      <c r="E47" s="242"/>
      <c r="F47" s="243"/>
      <c r="G47" s="243"/>
      <c r="H47" s="473" t="s">
        <v>1087</v>
      </c>
      <c r="I47" s="473"/>
      <c r="J47" s="244"/>
      <c r="K47" s="244"/>
      <c r="L47" s="109"/>
      <c r="M47" s="325"/>
      <c r="N47" s="326"/>
      <c r="O47" s="340"/>
      <c r="P47" s="327"/>
      <c r="Q47" s="341"/>
    </row>
    <row r="48" spans="1:17" s="113" customFormat="1" ht="24.95" customHeight="1">
      <c r="A48" s="192"/>
      <c r="B48" s="107"/>
      <c r="C48" s="107"/>
      <c r="D48" s="241"/>
      <c r="E48" s="532" t="s">
        <v>1332</v>
      </c>
      <c r="F48" s="533"/>
      <c r="G48" s="533"/>
      <c r="H48" s="533"/>
      <c r="I48" s="533"/>
      <c r="J48" s="533"/>
      <c r="K48" s="533"/>
      <c r="L48" s="109">
        <f>ROUNDDOWN(60000*15*0.012,0)</f>
        <v>10800</v>
      </c>
      <c r="M48" s="325">
        <f>+L48</f>
        <v>10800</v>
      </c>
      <c r="N48" s="326">
        <v>7200</v>
      </c>
      <c r="O48" s="340">
        <f t="shared" si="1"/>
        <v>3600</v>
      </c>
      <c r="P48" s="327"/>
      <c r="Q48" s="341" t="s">
        <v>1333</v>
      </c>
    </row>
    <row r="49" spans="1:17" s="113" customFormat="1" ht="24.95" customHeight="1">
      <c r="A49" s="192"/>
      <c r="B49" s="107"/>
      <c r="C49" s="107"/>
      <c r="D49" s="241"/>
      <c r="E49" s="242"/>
      <c r="F49" s="243"/>
      <c r="G49" s="243"/>
      <c r="H49" s="535" t="s">
        <v>904</v>
      </c>
      <c r="I49" s="535"/>
      <c r="J49" s="244"/>
      <c r="K49" s="244"/>
      <c r="L49" s="109"/>
      <c r="M49" s="325"/>
      <c r="N49" s="326"/>
      <c r="O49" s="340"/>
      <c r="P49" s="327"/>
      <c r="Q49" s="341"/>
    </row>
    <row r="50" spans="1:17" s="113" customFormat="1" ht="24.95" customHeight="1">
      <c r="A50" s="192"/>
      <c r="B50" s="107"/>
      <c r="C50" s="107"/>
      <c r="D50" s="241"/>
      <c r="E50" s="532" t="s">
        <v>1334</v>
      </c>
      <c r="F50" s="533"/>
      <c r="G50" s="533"/>
      <c r="H50" s="533"/>
      <c r="I50" s="533"/>
      <c r="J50" s="533"/>
      <c r="K50" s="533"/>
      <c r="L50" s="109">
        <f>ROUNDDOWN(60000*10*12*90%/1000,0)</f>
        <v>6480</v>
      </c>
      <c r="M50" s="325">
        <f>+L50</f>
        <v>6480</v>
      </c>
      <c r="N50" s="326">
        <v>12960</v>
      </c>
      <c r="O50" s="340">
        <f t="shared" ref="O50" si="2">+M50-N50</f>
        <v>-6480</v>
      </c>
      <c r="P50" s="327"/>
      <c r="Q50" s="341"/>
    </row>
    <row r="51" spans="1:17" s="113" customFormat="1" ht="24.95" customHeight="1">
      <c r="A51" s="192"/>
      <c r="B51" s="107"/>
      <c r="C51" s="107"/>
      <c r="D51" s="241"/>
      <c r="E51" s="242"/>
      <c r="F51" s="243"/>
      <c r="G51" s="243"/>
      <c r="H51" s="473" t="s">
        <v>1335</v>
      </c>
      <c r="I51" s="473"/>
      <c r="J51" s="244"/>
      <c r="K51" s="244"/>
      <c r="L51" s="109"/>
      <c r="M51" s="325"/>
      <c r="N51" s="326"/>
      <c r="O51" s="340"/>
      <c r="P51" s="327"/>
      <c r="Q51" s="341"/>
    </row>
    <row r="52" spans="1:17" s="113" customFormat="1" ht="24.95" customHeight="1">
      <c r="A52" s="192"/>
      <c r="B52" s="107"/>
      <c r="C52" s="107"/>
      <c r="D52" s="241"/>
      <c r="E52" s="532" t="s">
        <v>1336</v>
      </c>
      <c r="F52" s="533"/>
      <c r="G52" s="533"/>
      <c r="H52" s="533"/>
      <c r="I52" s="533"/>
      <c r="J52" s="533"/>
      <c r="K52" s="533"/>
      <c r="L52" s="109">
        <f>ROUNDDOWN(60000*10*12*50%/1000,0)</f>
        <v>3600</v>
      </c>
      <c r="M52" s="325">
        <f>+L52</f>
        <v>3600</v>
      </c>
      <c r="N52" s="326">
        <v>0</v>
      </c>
      <c r="O52" s="340">
        <f t="shared" si="1"/>
        <v>3600</v>
      </c>
      <c r="P52" s="327"/>
      <c r="Q52" s="341"/>
    </row>
    <row r="53" spans="1:17" s="113" customFormat="1" ht="24.95" customHeight="1">
      <c r="A53" s="192"/>
      <c r="B53" s="107"/>
      <c r="C53" s="107"/>
      <c r="D53" s="241"/>
      <c r="E53" s="242"/>
      <c r="F53" s="243"/>
      <c r="G53" s="243"/>
      <c r="H53" s="473" t="s">
        <v>902</v>
      </c>
      <c r="I53" s="473"/>
      <c r="J53" s="244"/>
      <c r="K53" s="244"/>
      <c r="L53" s="109"/>
      <c r="M53" s="325"/>
      <c r="N53" s="326"/>
      <c r="O53" s="340"/>
      <c r="P53" s="327"/>
      <c r="Q53" s="341"/>
    </row>
    <row r="54" spans="1:17" s="113" customFormat="1" ht="24.95" customHeight="1">
      <c r="A54" s="192"/>
      <c r="B54" s="107"/>
      <c r="C54" s="107"/>
      <c r="D54" s="241"/>
      <c r="E54" s="532" t="s">
        <v>1337</v>
      </c>
      <c r="F54" s="533"/>
      <c r="G54" s="533"/>
      <c r="H54" s="533"/>
      <c r="I54" s="533"/>
      <c r="J54" s="533"/>
      <c r="K54" s="533"/>
      <c r="L54" s="109">
        <f>ROUNDDOWN(48000*10*0.012,0)</f>
        <v>5760</v>
      </c>
      <c r="M54" s="325">
        <f>+L54</f>
        <v>5760</v>
      </c>
      <c r="N54" s="326">
        <v>14400</v>
      </c>
      <c r="O54" s="340">
        <f t="shared" si="1"/>
        <v>-8640</v>
      </c>
      <c r="P54" s="327"/>
      <c r="Q54" s="341"/>
    </row>
    <row r="55" spans="1:17" s="113" customFormat="1" ht="24.95" customHeight="1">
      <c r="A55" s="192"/>
      <c r="B55" s="107"/>
      <c r="C55" s="107"/>
      <c r="D55" s="241"/>
      <c r="E55" s="242"/>
      <c r="F55" s="243"/>
      <c r="G55" s="243"/>
      <c r="H55" s="535" t="s">
        <v>905</v>
      </c>
      <c r="I55" s="535"/>
      <c r="J55" s="244"/>
      <c r="K55" s="244"/>
      <c r="L55" s="109"/>
      <c r="M55" s="325"/>
      <c r="N55" s="326"/>
      <c r="O55" s="340"/>
      <c r="P55" s="327"/>
      <c r="Q55" s="341"/>
    </row>
    <row r="56" spans="1:17" s="113" customFormat="1" ht="24.95" customHeight="1">
      <c r="A56" s="192"/>
      <c r="B56" s="107"/>
      <c r="C56" s="107"/>
      <c r="D56" s="241"/>
      <c r="E56" s="532" t="s">
        <v>1338</v>
      </c>
      <c r="F56" s="533"/>
      <c r="G56" s="533"/>
      <c r="H56" s="533"/>
      <c r="I56" s="533"/>
      <c r="J56" s="533"/>
      <c r="K56" s="533"/>
      <c r="L56" s="109">
        <f>ROUNDDOWN(48000*10*12*90%/1000,0)</f>
        <v>5184</v>
      </c>
      <c r="M56" s="325">
        <f>+L56</f>
        <v>5184</v>
      </c>
      <c r="N56" s="326">
        <v>10368</v>
      </c>
      <c r="O56" s="340">
        <f t="shared" si="1"/>
        <v>-5184</v>
      </c>
      <c r="P56" s="327"/>
      <c r="Q56" s="341"/>
    </row>
    <row r="57" spans="1:17" s="113" customFormat="1" ht="24.95" customHeight="1">
      <c r="A57" s="192"/>
      <c r="B57" s="107"/>
      <c r="C57" s="107"/>
      <c r="D57" s="241"/>
      <c r="E57" s="242"/>
      <c r="F57" s="243"/>
      <c r="G57" s="243"/>
      <c r="H57" s="473" t="s">
        <v>1931</v>
      </c>
      <c r="I57" s="473"/>
      <c r="J57" s="244"/>
      <c r="K57" s="244"/>
      <c r="L57" s="109"/>
      <c r="M57" s="325"/>
      <c r="N57" s="326"/>
      <c r="O57" s="340"/>
      <c r="P57" s="327"/>
      <c r="Q57" s="341"/>
    </row>
    <row r="58" spans="1:17" s="113" customFormat="1" ht="24.95" customHeight="1">
      <c r="A58" s="192"/>
      <c r="B58" s="107"/>
      <c r="C58" s="107"/>
      <c r="D58" s="241"/>
      <c r="E58" s="532" t="s">
        <v>1340</v>
      </c>
      <c r="F58" s="533"/>
      <c r="G58" s="533"/>
      <c r="H58" s="533"/>
      <c r="I58" s="533"/>
      <c r="J58" s="533"/>
      <c r="K58" s="533"/>
      <c r="L58" s="109">
        <f>ROUNDDOWN(48000*10*12*50%/1000,0)</f>
        <v>2880</v>
      </c>
      <c r="M58" s="325">
        <f>+L58</f>
        <v>2880</v>
      </c>
      <c r="N58" s="326">
        <v>0</v>
      </c>
      <c r="O58" s="340">
        <f t="shared" si="1"/>
        <v>2880</v>
      </c>
      <c r="P58" s="327"/>
      <c r="Q58" s="341"/>
    </row>
    <row r="59" spans="1:17" s="113" customFormat="1" ht="24.95" customHeight="1">
      <c r="A59" s="192"/>
      <c r="B59" s="107"/>
      <c r="C59" s="107"/>
      <c r="D59" s="241"/>
      <c r="E59" s="242"/>
      <c r="F59" s="243"/>
      <c r="G59" s="243"/>
      <c r="H59" s="473" t="s">
        <v>1126</v>
      </c>
      <c r="I59" s="473"/>
      <c r="J59" s="244"/>
      <c r="K59" s="244"/>
      <c r="L59" s="109"/>
      <c r="M59" s="325"/>
      <c r="N59" s="326"/>
      <c r="O59" s="340"/>
      <c r="P59" s="327"/>
      <c r="Q59" s="341"/>
    </row>
    <row r="60" spans="1:17" s="113" customFormat="1" ht="24.95" customHeight="1">
      <c r="A60" s="192"/>
      <c r="B60" s="107"/>
      <c r="C60" s="107"/>
      <c r="D60" s="241"/>
      <c r="E60" s="532" t="s">
        <v>1341</v>
      </c>
      <c r="F60" s="533"/>
      <c r="G60" s="533"/>
      <c r="H60" s="533"/>
      <c r="I60" s="533"/>
      <c r="J60" s="533"/>
      <c r="K60" s="533"/>
      <c r="L60" s="109">
        <f>ROUNDDOWN(20000*9*0.012,0)</f>
        <v>2160</v>
      </c>
      <c r="M60" s="325">
        <f>+L60</f>
        <v>2160</v>
      </c>
      <c r="N60" s="326">
        <v>6000</v>
      </c>
      <c r="O60" s="340">
        <f t="shared" si="1"/>
        <v>-3840</v>
      </c>
      <c r="P60" s="327"/>
      <c r="Q60" s="341"/>
    </row>
    <row r="61" spans="1:17" s="113" customFormat="1" ht="24.95" customHeight="1">
      <c r="A61" s="192"/>
      <c r="B61" s="107"/>
      <c r="C61" s="107"/>
      <c r="D61" s="241"/>
      <c r="E61" s="242"/>
      <c r="F61" s="243"/>
      <c r="G61" s="243"/>
      <c r="H61" s="473" t="s">
        <v>1342</v>
      </c>
      <c r="I61" s="473"/>
      <c r="J61" s="244"/>
      <c r="K61" s="244"/>
      <c r="L61" s="109"/>
      <c r="M61" s="325"/>
      <c r="N61" s="326"/>
      <c r="O61" s="340"/>
      <c r="P61" s="327"/>
      <c r="Q61" s="341"/>
    </row>
    <row r="62" spans="1:17" s="113" customFormat="1" ht="24.95" customHeight="1">
      <c r="A62" s="192"/>
      <c r="B62" s="107"/>
      <c r="C62" s="107"/>
      <c r="D62" s="241"/>
      <c r="E62" s="532" t="s">
        <v>1343</v>
      </c>
      <c r="F62" s="533"/>
      <c r="G62" s="533"/>
      <c r="H62" s="533"/>
      <c r="I62" s="533"/>
      <c r="J62" s="533"/>
      <c r="K62" s="533"/>
      <c r="L62" s="109">
        <f>ROUNDDOWN(20000*6*12*50%/1000,0)</f>
        <v>720</v>
      </c>
      <c r="M62" s="325">
        <f>+L62</f>
        <v>720</v>
      </c>
      <c r="N62" s="326">
        <v>0</v>
      </c>
      <c r="O62" s="340">
        <f t="shared" si="1"/>
        <v>720</v>
      </c>
      <c r="P62" s="327"/>
      <c r="Q62" s="341"/>
    </row>
    <row r="63" spans="1:17" s="113" customFormat="1" ht="24.95" customHeight="1">
      <c r="A63" s="192"/>
      <c r="B63" s="107"/>
      <c r="C63" s="107"/>
      <c r="D63" s="241"/>
      <c r="E63" s="472" t="s">
        <v>907</v>
      </c>
      <c r="F63" s="473"/>
      <c r="G63" s="473"/>
      <c r="H63" s="473"/>
      <c r="I63" s="473"/>
      <c r="J63" s="474"/>
      <c r="K63" s="474"/>
      <c r="L63" s="109"/>
      <c r="M63" s="325"/>
      <c r="N63" s="326"/>
      <c r="O63" s="340"/>
      <c r="P63" s="327"/>
      <c r="Q63" s="341"/>
    </row>
    <row r="64" spans="1:17" s="113" customFormat="1" ht="24.95" customHeight="1">
      <c r="A64" s="192"/>
      <c r="B64" s="107"/>
      <c r="C64" s="107"/>
      <c r="D64" s="241"/>
      <c r="E64" s="242"/>
      <c r="F64" s="243"/>
      <c r="G64" s="243"/>
      <c r="H64" s="473" t="s">
        <v>1932</v>
      </c>
      <c r="I64" s="473"/>
      <c r="J64" s="244"/>
      <c r="K64" s="244"/>
      <c r="L64" s="109"/>
      <c r="M64" s="325"/>
      <c r="N64" s="326"/>
      <c r="O64" s="340"/>
      <c r="P64" s="327"/>
      <c r="Q64" s="341"/>
    </row>
    <row r="65" spans="1:17" s="113" customFormat="1" ht="24.95" customHeight="1">
      <c r="A65" s="192"/>
      <c r="B65" s="107"/>
      <c r="C65" s="107"/>
      <c r="D65" s="241"/>
      <c r="E65" s="472" t="s">
        <v>908</v>
      </c>
      <c r="F65" s="473"/>
      <c r="G65" s="473"/>
      <c r="H65" s="473"/>
      <c r="I65" s="473"/>
      <c r="J65" s="474"/>
      <c r="K65" s="474"/>
      <c r="L65" s="109"/>
      <c r="M65" s="325"/>
      <c r="N65" s="326"/>
      <c r="O65" s="340"/>
      <c r="P65" s="327"/>
      <c r="Q65" s="341"/>
    </row>
    <row r="66" spans="1:17" s="113" customFormat="1" ht="24.95" customHeight="1">
      <c r="A66" s="192"/>
      <c r="B66" s="107"/>
      <c r="C66" s="107"/>
      <c r="D66" s="241"/>
      <c r="E66" s="532" t="s">
        <v>1344</v>
      </c>
      <c r="F66" s="533"/>
      <c r="G66" s="533"/>
      <c r="H66" s="533"/>
      <c r="I66" s="533"/>
      <c r="J66" s="533"/>
      <c r="K66" s="533"/>
      <c r="L66" s="109">
        <f>ROUNDDOWN(60000*7*8*0.012,0)</f>
        <v>40320</v>
      </c>
      <c r="M66" s="325">
        <f>+L66</f>
        <v>40320</v>
      </c>
      <c r="N66" s="326">
        <v>46080</v>
      </c>
      <c r="O66" s="340">
        <f t="shared" si="1"/>
        <v>-5760</v>
      </c>
      <c r="P66" s="327"/>
      <c r="Q66" s="341"/>
    </row>
    <row r="67" spans="1:17" s="113" customFormat="1" ht="24.95" customHeight="1">
      <c r="A67" s="192"/>
      <c r="B67" s="107"/>
      <c r="C67" s="107"/>
      <c r="D67" s="241"/>
      <c r="E67" s="472" t="s">
        <v>1345</v>
      </c>
      <c r="F67" s="473"/>
      <c r="G67" s="473"/>
      <c r="H67" s="473"/>
      <c r="I67" s="473"/>
      <c r="J67" s="474"/>
      <c r="K67" s="474"/>
      <c r="L67" s="109"/>
      <c r="M67" s="325"/>
      <c r="N67" s="326"/>
      <c r="O67" s="340"/>
      <c r="P67" s="327"/>
      <c r="Q67" s="341"/>
    </row>
    <row r="68" spans="1:17" s="113" customFormat="1" ht="24.95" customHeight="1">
      <c r="A68" s="192"/>
      <c r="B68" s="107"/>
      <c r="C68" s="107"/>
      <c r="D68" s="241"/>
      <c r="E68" s="532" t="s">
        <v>1346</v>
      </c>
      <c r="F68" s="533"/>
      <c r="G68" s="533"/>
      <c r="H68" s="533"/>
      <c r="I68" s="533"/>
      <c r="J68" s="533"/>
      <c r="K68" s="533"/>
      <c r="L68" s="109">
        <f>ROUNDDOWN(60000*4*8*12*90%/1000,0)</f>
        <v>20736</v>
      </c>
      <c r="M68" s="325">
        <f>+L68</f>
        <v>20736</v>
      </c>
      <c r="N68" s="326">
        <v>41472</v>
      </c>
      <c r="O68" s="340">
        <f t="shared" si="1"/>
        <v>-20736</v>
      </c>
      <c r="P68" s="327"/>
      <c r="Q68" s="341"/>
    </row>
    <row r="69" spans="1:17" s="113" customFormat="1" ht="24.95" customHeight="1">
      <c r="A69" s="192"/>
      <c r="B69" s="107"/>
      <c r="C69" s="107"/>
      <c r="D69" s="241"/>
      <c r="E69" s="472" t="s">
        <v>1347</v>
      </c>
      <c r="F69" s="473"/>
      <c r="G69" s="473"/>
      <c r="H69" s="473"/>
      <c r="I69" s="473"/>
      <c r="J69" s="474"/>
      <c r="K69" s="474"/>
      <c r="L69" s="109"/>
      <c r="M69" s="325"/>
      <c r="N69" s="326"/>
      <c r="O69" s="340"/>
      <c r="P69" s="327"/>
      <c r="Q69" s="341"/>
    </row>
    <row r="70" spans="1:17" s="113" customFormat="1" ht="24.95" customHeight="1">
      <c r="A70" s="192"/>
      <c r="B70" s="107"/>
      <c r="C70" s="107"/>
      <c r="D70" s="241"/>
      <c r="E70" s="532" t="s">
        <v>1348</v>
      </c>
      <c r="F70" s="533"/>
      <c r="G70" s="533"/>
      <c r="H70" s="533"/>
      <c r="I70" s="533"/>
      <c r="J70" s="533"/>
      <c r="K70" s="533"/>
      <c r="L70" s="109">
        <f>ROUNDDOWN(60000*4*8*12*50%/1000,0)</f>
        <v>11520</v>
      </c>
      <c r="M70" s="325">
        <f>+L70</f>
        <v>11520</v>
      </c>
      <c r="N70" s="326">
        <v>0</v>
      </c>
      <c r="O70" s="340">
        <f t="shared" si="1"/>
        <v>11520</v>
      </c>
      <c r="P70" s="327"/>
      <c r="Q70" s="341"/>
    </row>
    <row r="71" spans="1:17" s="113" customFormat="1" ht="24.95" customHeight="1">
      <c r="A71" s="192"/>
      <c r="B71" s="107"/>
      <c r="C71" s="107"/>
      <c r="D71" s="241"/>
      <c r="E71" s="242"/>
      <c r="F71" s="243"/>
      <c r="G71" s="243"/>
      <c r="H71" s="473" t="s">
        <v>1933</v>
      </c>
      <c r="I71" s="473"/>
      <c r="J71" s="244"/>
      <c r="K71" s="244"/>
      <c r="L71" s="109"/>
      <c r="M71" s="325"/>
      <c r="N71" s="326"/>
      <c r="O71" s="340"/>
      <c r="P71" s="327"/>
      <c r="Q71" s="341"/>
    </row>
    <row r="72" spans="1:17" s="113" customFormat="1" ht="24.95" customHeight="1">
      <c r="A72" s="192"/>
      <c r="B72" s="107"/>
      <c r="C72" s="107"/>
      <c r="D72" s="241"/>
      <c r="E72" s="472" t="s">
        <v>908</v>
      </c>
      <c r="F72" s="473"/>
      <c r="G72" s="473"/>
      <c r="H72" s="473"/>
      <c r="I72" s="473"/>
      <c r="J72" s="474"/>
      <c r="K72" s="474"/>
      <c r="L72" s="109"/>
      <c r="M72" s="325"/>
      <c r="N72" s="326"/>
      <c r="O72" s="340"/>
      <c r="P72" s="327"/>
      <c r="Q72" s="341"/>
    </row>
    <row r="73" spans="1:17" s="113" customFormat="1" ht="24.95" customHeight="1">
      <c r="A73" s="192"/>
      <c r="B73" s="107"/>
      <c r="C73" s="107"/>
      <c r="D73" s="241"/>
      <c r="E73" s="532" t="s">
        <v>1130</v>
      </c>
      <c r="F73" s="533"/>
      <c r="G73" s="533"/>
      <c r="H73" s="533"/>
      <c r="I73" s="533"/>
      <c r="J73" s="533"/>
      <c r="K73" s="533"/>
      <c r="L73" s="109">
        <f>ROUNDDOWN(48000*1*8*0.012,0)</f>
        <v>4608</v>
      </c>
      <c r="M73" s="325">
        <f>+L73</f>
        <v>4608</v>
      </c>
      <c r="N73" s="326">
        <v>4608</v>
      </c>
      <c r="O73" s="340">
        <f t="shared" si="1"/>
        <v>0</v>
      </c>
      <c r="P73" s="327"/>
      <c r="Q73" s="341"/>
    </row>
    <row r="74" spans="1:17" s="113" customFormat="1" ht="24.95" customHeight="1">
      <c r="A74" s="192"/>
      <c r="B74" s="107"/>
      <c r="C74" s="107"/>
      <c r="D74" s="241"/>
      <c r="E74" s="472" t="s">
        <v>1345</v>
      </c>
      <c r="F74" s="473"/>
      <c r="G74" s="473"/>
      <c r="H74" s="473"/>
      <c r="I74" s="473"/>
      <c r="J74" s="474"/>
      <c r="K74" s="474"/>
      <c r="L74" s="109"/>
      <c r="M74" s="325"/>
      <c r="N74" s="326"/>
      <c r="O74" s="340"/>
      <c r="P74" s="327"/>
      <c r="Q74" s="341"/>
    </row>
    <row r="75" spans="1:17" s="113" customFormat="1" ht="24.95" customHeight="1">
      <c r="A75" s="192"/>
      <c r="B75" s="107"/>
      <c r="C75" s="107"/>
      <c r="D75" s="241"/>
      <c r="E75" s="532" t="s">
        <v>1131</v>
      </c>
      <c r="F75" s="533"/>
      <c r="G75" s="533"/>
      <c r="H75" s="533"/>
      <c r="I75" s="533"/>
      <c r="J75" s="533"/>
      <c r="K75" s="533"/>
      <c r="L75" s="109">
        <f>ROUNDDOWN(48000*1*8*12*90%/1000,0)</f>
        <v>4147</v>
      </c>
      <c r="M75" s="325">
        <f>+L75</f>
        <v>4147</v>
      </c>
      <c r="N75" s="326">
        <v>4147</v>
      </c>
      <c r="O75" s="340">
        <f t="shared" si="1"/>
        <v>0</v>
      </c>
      <c r="P75" s="327"/>
      <c r="Q75" s="341"/>
    </row>
    <row r="76" spans="1:17" s="113" customFormat="1" ht="24.95" customHeight="1">
      <c r="A76" s="192"/>
      <c r="B76" s="107"/>
      <c r="C76" s="107"/>
      <c r="D76" s="241"/>
      <c r="E76" s="472" t="s">
        <v>1347</v>
      </c>
      <c r="F76" s="473"/>
      <c r="G76" s="473"/>
      <c r="H76" s="473"/>
      <c r="I76" s="473"/>
      <c r="J76" s="474"/>
      <c r="K76" s="474"/>
      <c r="L76" s="109"/>
      <c r="M76" s="325"/>
      <c r="N76" s="326"/>
      <c r="O76" s="340"/>
      <c r="P76" s="327"/>
      <c r="Q76" s="341"/>
    </row>
    <row r="77" spans="1:17" s="113" customFormat="1" ht="24.95" customHeight="1">
      <c r="A77" s="192"/>
      <c r="B77" s="107"/>
      <c r="C77" s="107"/>
      <c r="D77" s="241"/>
      <c r="E77" s="532" t="s">
        <v>1349</v>
      </c>
      <c r="F77" s="533"/>
      <c r="G77" s="533"/>
      <c r="H77" s="533"/>
      <c r="I77" s="533"/>
      <c r="J77" s="533"/>
      <c r="K77" s="533"/>
      <c r="L77" s="109">
        <f>ROUNDDOWN(48000*1*8*12*50%/1000,0)</f>
        <v>2304</v>
      </c>
      <c r="M77" s="325">
        <f>+L77</f>
        <v>2304</v>
      </c>
      <c r="N77" s="326">
        <v>0</v>
      </c>
      <c r="O77" s="340">
        <f t="shared" si="1"/>
        <v>2304</v>
      </c>
      <c r="P77" s="327"/>
      <c r="Q77" s="341"/>
    </row>
    <row r="78" spans="1:17" s="113" customFormat="1" ht="24.95" customHeight="1">
      <c r="A78" s="192"/>
      <c r="B78" s="107"/>
      <c r="C78" s="107"/>
      <c r="D78" s="241"/>
      <c r="E78" s="472" t="s">
        <v>1934</v>
      </c>
      <c r="F78" s="473"/>
      <c r="G78" s="473"/>
      <c r="H78" s="473"/>
      <c r="I78" s="473"/>
      <c r="J78" s="474"/>
      <c r="K78" s="474"/>
      <c r="L78" s="109"/>
      <c r="M78" s="325"/>
      <c r="N78" s="326"/>
      <c r="O78" s="340"/>
      <c r="P78" s="327"/>
      <c r="Q78" s="341"/>
    </row>
    <row r="79" spans="1:17" s="113" customFormat="1" ht="24.95" customHeight="1">
      <c r="A79" s="192"/>
      <c r="B79" s="107"/>
      <c r="C79" s="107"/>
      <c r="D79" s="241"/>
      <c r="E79" s="242"/>
      <c r="F79" s="243"/>
      <c r="G79" s="243"/>
      <c r="H79" s="473" t="s">
        <v>1132</v>
      </c>
      <c r="I79" s="473"/>
      <c r="J79" s="244"/>
      <c r="K79" s="244"/>
      <c r="L79" s="109"/>
      <c r="M79" s="325"/>
      <c r="N79" s="326"/>
      <c r="O79" s="340"/>
      <c r="P79" s="327"/>
      <c r="Q79" s="341"/>
    </row>
    <row r="80" spans="1:17" s="113" customFormat="1" ht="24.95" customHeight="1">
      <c r="A80" s="192"/>
      <c r="B80" s="107"/>
      <c r="C80" s="107"/>
      <c r="D80" s="241"/>
      <c r="E80" s="532" t="s">
        <v>1350</v>
      </c>
      <c r="F80" s="533"/>
      <c r="G80" s="533"/>
      <c r="H80" s="533"/>
      <c r="I80" s="533"/>
      <c r="J80" s="533"/>
      <c r="K80" s="533"/>
      <c r="L80" s="109">
        <f>ROUNDDOWN(45000*5*8*0.012,0)</f>
        <v>21600</v>
      </c>
      <c r="M80" s="325">
        <f>+L80</f>
        <v>21600</v>
      </c>
      <c r="N80" s="326">
        <v>22680</v>
      </c>
      <c r="O80" s="340">
        <f t="shared" si="1"/>
        <v>-1080</v>
      </c>
      <c r="P80" s="327"/>
      <c r="Q80" s="341"/>
    </row>
    <row r="81" spans="1:17" s="113" customFormat="1" ht="24.95" customHeight="1">
      <c r="A81" s="192"/>
      <c r="B81" s="107"/>
      <c r="C81" s="107"/>
      <c r="D81" s="241"/>
      <c r="E81" s="242"/>
      <c r="F81" s="243"/>
      <c r="G81" s="243"/>
      <c r="H81" s="473" t="s">
        <v>1351</v>
      </c>
      <c r="I81" s="473"/>
      <c r="J81" s="244"/>
      <c r="K81" s="244"/>
      <c r="L81" s="109"/>
      <c r="M81" s="325"/>
      <c r="N81" s="326"/>
      <c r="O81" s="340"/>
      <c r="P81" s="327"/>
      <c r="Q81" s="341"/>
    </row>
    <row r="82" spans="1:17" s="113" customFormat="1" ht="24.95" customHeight="1">
      <c r="A82" s="192"/>
      <c r="B82" s="107"/>
      <c r="C82" s="107"/>
      <c r="D82" s="241"/>
      <c r="E82" s="532" t="s">
        <v>1352</v>
      </c>
      <c r="F82" s="533"/>
      <c r="G82" s="533"/>
      <c r="H82" s="533"/>
      <c r="I82" s="533"/>
      <c r="J82" s="533"/>
      <c r="K82" s="533"/>
      <c r="L82" s="109">
        <f>ROUNDDOWN(45000*5*8*12*90%/1000,0)</f>
        <v>19440</v>
      </c>
      <c r="M82" s="325">
        <f>+L82</f>
        <v>19440</v>
      </c>
      <c r="N82" s="326">
        <v>34020</v>
      </c>
      <c r="O82" s="340">
        <f t="shared" si="1"/>
        <v>-14580</v>
      </c>
      <c r="P82" s="327"/>
      <c r="Q82" s="341"/>
    </row>
    <row r="83" spans="1:17" s="113" customFormat="1" ht="24.95" customHeight="1">
      <c r="A83" s="192"/>
      <c r="B83" s="107"/>
      <c r="C83" s="107"/>
      <c r="D83" s="241"/>
      <c r="E83" s="242"/>
      <c r="F83" s="243"/>
      <c r="G83" s="243"/>
      <c r="H83" s="473" t="s">
        <v>1353</v>
      </c>
      <c r="I83" s="473"/>
      <c r="J83" s="244"/>
      <c r="K83" s="244"/>
      <c r="L83" s="109"/>
      <c r="M83" s="325"/>
      <c r="N83" s="326"/>
      <c r="O83" s="340"/>
      <c r="P83" s="327"/>
      <c r="Q83" s="341"/>
    </row>
    <row r="84" spans="1:17" s="113" customFormat="1" ht="24.95" customHeight="1">
      <c r="A84" s="192"/>
      <c r="B84" s="107"/>
      <c r="C84" s="107"/>
      <c r="D84" s="241"/>
      <c r="E84" s="532" t="s">
        <v>1354</v>
      </c>
      <c r="F84" s="533"/>
      <c r="G84" s="533"/>
      <c r="H84" s="533"/>
      <c r="I84" s="533"/>
      <c r="J84" s="533"/>
      <c r="K84" s="533"/>
      <c r="L84" s="109">
        <f>ROUNDDOWN(45000*5*8*12*50%/1000,0)</f>
        <v>10800</v>
      </c>
      <c r="M84" s="325">
        <f>+L84</f>
        <v>10800</v>
      </c>
      <c r="N84" s="326">
        <v>0</v>
      </c>
      <c r="O84" s="340">
        <f t="shared" si="1"/>
        <v>10800</v>
      </c>
      <c r="P84" s="327"/>
      <c r="Q84" s="341"/>
    </row>
    <row r="85" spans="1:17" s="113" customFormat="1" ht="24.95" customHeight="1">
      <c r="A85" s="192"/>
      <c r="B85" s="107"/>
      <c r="C85" s="107"/>
      <c r="D85" s="241"/>
      <c r="E85" s="242"/>
      <c r="F85" s="243"/>
      <c r="G85" s="243"/>
      <c r="H85" s="473" t="s">
        <v>1133</v>
      </c>
      <c r="I85" s="473"/>
      <c r="J85" s="244"/>
      <c r="K85" s="244"/>
      <c r="L85" s="109"/>
      <c r="M85" s="325"/>
      <c r="N85" s="326"/>
      <c r="O85" s="340"/>
      <c r="P85" s="327"/>
      <c r="Q85" s="341"/>
    </row>
    <row r="86" spans="1:17" s="113" customFormat="1" ht="24.95" customHeight="1">
      <c r="A86" s="192"/>
      <c r="B86" s="107"/>
      <c r="C86" s="107"/>
      <c r="D86" s="241"/>
      <c r="E86" s="532" t="s">
        <v>1355</v>
      </c>
      <c r="F86" s="533"/>
      <c r="G86" s="533"/>
      <c r="H86" s="533"/>
      <c r="I86" s="533"/>
      <c r="J86" s="533"/>
      <c r="K86" s="533"/>
      <c r="L86" s="109">
        <f>ROUNDDOWN(38000*5*3*0.012,0)</f>
        <v>6840</v>
      </c>
      <c r="M86" s="325">
        <f>+L86</f>
        <v>6840</v>
      </c>
      <c r="N86" s="326">
        <v>8208</v>
      </c>
      <c r="O86" s="340">
        <f t="shared" ref="O86:O146" si="3">+M86-N86</f>
        <v>-1368</v>
      </c>
      <c r="P86" s="327"/>
      <c r="Q86" s="341"/>
    </row>
    <row r="87" spans="1:17" s="113" customFormat="1" ht="24.95" customHeight="1">
      <c r="A87" s="192"/>
      <c r="B87" s="107"/>
      <c r="C87" s="107"/>
      <c r="D87" s="241"/>
      <c r="E87" s="242"/>
      <c r="F87" s="243"/>
      <c r="G87" s="243"/>
      <c r="H87" s="473" t="s">
        <v>1935</v>
      </c>
      <c r="I87" s="473"/>
      <c r="J87" s="244"/>
      <c r="K87" s="244"/>
      <c r="L87" s="109"/>
      <c r="M87" s="325"/>
      <c r="N87" s="326"/>
      <c r="O87" s="340"/>
      <c r="P87" s="327"/>
      <c r="Q87" s="341"/>
    </row>
    <row r="88" spans="1:17" s="113" customFormat="1" ht="24.95" customHeight="1">
      <c r="A88" s="192"/>
      <c r="B88" s="107"/>
      <c r="C88" s="107"/>
      <c r="D88" s="241"/>
      <c r="E88" s="532" t="s">
        <v>1356</v>
      </c>
      <c r="F88" s="533"/>
      <c r="G88" s="533"/>
      <c r="H88" s="533"/>
      <c r="I88" s="533"/>
      <c r="J88" s="533"/>
      <c r="K88" s="533"/>
      <c r="L88" s="109">
        <f>ROUNDDOWN(38000*3*3*12*90%/1000,0)</f>
        <v>3693</v>
      </c>
      <c r="M88" s="325">
        <f>+L88</f>
        <v>3693</v>
      </c>
      <c r="N88" s="326">
        <v>7387</v>
      </c>
      <c r="O88" s="340">
        <f t="shared" si="3"/>
        <v>-3694</v>
      </c>
      <c r="P88" s="327"/>
      <c r="Q88" s="341"/>
    </row>
    <row r="89" spans="1:17" s="113" customFormat="1" ht="24.95" customHeight="1">
      <c r="A89" s="192"/>
      <c r="B89" s="107"/>
      <c r="C89" s="107"/>
      <c r="D89" s="241"/>
      <c r="E89" s="242"/>
      <c r="F89" s="243"/>
      <c r="G89" s="243"/>
      <c r="H89" s="473" t="s">
        <v>1363</v>
      </c>
      <c r="I89" s="473"/>
      <c r="J89" s="244"/>
      <c r="K89" s="244"/>
      <c r="L89" s="109"/>
      <c r="M89" s="325"/>
      <c r="N89" s="326"/>
      <c r="O89" s="340"/>
      <c r="P89" s="327"/>
      <c r="Q89" s="341"/>
    </row>
    <row r="90" spans="1:17" s="113" customFormat="1" ht="24.95" customHeight="1">
      <c r="A90" s="192"/>
      <c r="B90" s="107"/>
      <c r="C90" s="107"/>
      <c r="D90" s="241"/>
      <c r="E90" s="532" t="s">
        <v>1358</v>
      </c>
      <c r="F90" s="533"/>
      <c r="G90" s="533"/>
      <c r="H90" s="533"/>
      <c r="I90" s="533"/>
      <c r="J90" s="533"/>
      <c r="K90" s="533"/>
      <c r="L90" s="109">
        <f>ROUNDDOWN(38000*3*3*12*50%/1000,0)</f>
        <v>2052</v>
      </c>
      <c r="M90" s="325">
        <f>+L90</f>
        <v>2052</v>
      </c>
      <c r="N90" s="326">
        <v>0</v>
      </c>
      <c r="O90" s="340">
        <f t="shared" si="3"/>
        <v>2052</v>
      </c>
      <c r="P90" s="327"/>
      <c r="Q90" s="341"/>
    </row>
    <row r="91" spans="1:17" s="113" customFormat="1" ht="24.95" customHeight="1">
      <c r="A91" s="192"/>
      <c r="B91" s="107"/>
      <c r="C91" s="107"/>
      <c r="D91" s="241"/>
      <c r="E91" s="472" t="s">
        <v>1936</v>
      </c>
      <c r="F91" s="473"/>
      <c r="G91" s="473"/>
      <c r="H91" s="473"/>
      <c r="I91" s="473"/>
      <c r="J91" s="474"/>
      <c r="K91" s="474"/>
      <c r="L91" s="109"/>
      <c r="M91" s="325"/>
      <c r="N91" s="326"/>
      <c r="O91" s="340"/>
      <c r="P91" s="327"/>
      <c r="Q91" s="341"/>
    </row>
    <row r="92" spans="1:17" s="113" customFormat="1" ht="24.95" customHeight="1">
      <c r="A92" s="192"/>
      <c r="B92" s="107"/>
      <c r="C92" s="107"/>
      <c r="D92" s="241"/>
      <c r="E92" s="242"/>
      <c r="F92" s="243"/>
      <c r="G92" s="243"/>
      <c r="H92" s="473" t="s">
        <v>1359</v>
      </c>
      <c r="I92" s="473"/>
      <c r="J92" s="244"/>
      <c r="K92" s="244"/>
      <c r="L92" s="109"/>
      <c r="M92" s="325"/>
      <c r="N92" s="326"/>
      <c r="O92" s="340"/>
      <c r="P92" s="327"/>
      <c r="Q92" s="341"/>
    </row>
    <row r="93" spans="1:17" s="113" customFormat="1" ht="24.95" customHeight="1">
      <c r="A93" s="192"/>
      <c r="B93" s="107"/>
      <c r="C93" s="107"/>
      <c r="D93" s="241"/>
      <c r="E93" s="532" t="s">
        <v>1360</v>
      </c>
      <c r="F93" s="533"/>
      <c r="G93" s="533"/>
      <c r="H93" s="533"/>
      <c r="I93" s="533"/>
      <c r="J93" s="533"/>
      <c r="K93" s="533"/>
      <c r="L93" s="109">
        <f>ROUNDDOWN(30000*2*8*12*90%/1000,0)</f>
        <v>5184</v>
      </c>
      <c r="M93" s="325">
        <f>+L93</f>
        <v>5184</v>
      </c>
      <c r="N93" s="326">
        <v>6804</v>
      </c>
      <c r="O93" s="340">
        <f t="shared" si="3"/>
        <v>-1620</v>
      </c>
      <c r="P93" s="327"/>
      <c r="Q93" s="341"/>
    </row>
    <row r="94" spans="1:17" s="113" customFormat="1" ht="24.95" customHeight="1">
      <c r="A94" s="192"/>
      <c r="B94" s="107"/>
      <c r="C94" s="107"/>
      <c r="D94" s="241"/>
      <c r="E94" s="242"/>
      <c r="F94" s="243"/>
      <c r="G94" s="243"/>
      <c r="H94" s="473" t="s">
        <v>1353</v>
      </c>
      <c r="I94" s="473"/>
      <c r="J94" s="244"/>
      <c r="K94" s="244"/>
      <c r="L94" s="109"/>
      <c r="M94" s="325"/>
      <c r="N94" s="326"/>
      <c r="O94" s="340"/>
      <c r="P94" s="327"/>
      <c r="Q94" s="341"/>
    </row>
    <row r="95" spans="1:17" s="113" customFormat="1" ht="24.95" customHeight="1">
      <c r="A95" s="192"/>
      <c r="B95" s="107"/>
      <c r="C95" s="107"/>
      <c r="D95" s="241"/>
      <c r="E95" s="532" t="s">
        <v>1361</v>
      </c>
      <c r="F95" s="533"/>
      <c r="G95" s="533"/>
      <c r="H95" s="533"/>
      <c r="I95" s="533"/>
      <c r="J95" s="533"/>
      <c r="K95" s="533"/>
      <c r="L95" s="109">
        <f>ROUNDDOWN(30000*1*8*12*50%/1000,0)</f>
        <v>1440</v>
      </c>
      <c r="M95" s="325">
        <f>+L95</f>
        <v>1440</v>
      </c>
      <c r="N95" s="326">
        <v>0</v>
      </c>
      <c r="O95" s="340">
        <f t="shared" si="3"/>
        <v>1440</v>
      </c>
      <c r="P95" s="327"/>
      <c r="Q95" s="341"/>
    </row>
    <row r="96" spans="1:17" s="113" customFormat="1" ht="24.95" customHeight="1">
      <c r="A96" s="192"/>
      <c r="B96" s="107"/>
      <c r="C96" s="107"/>
      <c r="D96" s="241"/>
      <c r="E96" s="242"/>
      <c r="F96" s="243"/>
      <c r="G96" s="243"/>
      <c r="H96" s="473" t="s">
        <v>1935</v>
      </c>
      <c r="I96" s="473"/>
      <c r="J96" s="244"/>
      <c r="K96" s="244"/>
      <c r="L96" s="109"/>
      <c r="M96" s="325"/>
      <c r="N96" s="326"/>
      <c r="O96" s="340"/>
      <c r="P96" s="327"/>
      <c r="Q96" s="341"/>
    </row>
    <row r="97" spans="1:17" s="113" customFormat="1" ht="24.95" customHeight="1">
      <c r="A97" s="192"/>
      <c r="B97" s="107"/>
      <c r="C97" s="107"/>
      <c r="D97" s="241"/>
      <c r="E97" s="532" t="s">
        <v>1362</v>
      </c>
      <c r="F97" s="533"/>
      <c r="G97" s="533"/>
      <c r="H97" s="533"/>
      <c r="I97" s="533"/>
      <c r="J97" s="533"/>
      <c r="K97" s="533"/>
      <c r="L97" s="109">
        <f>ROUNDDOWN(25500*2*3*12*90%/1000,0)</f>
        <v>1652</v>
      </c>
      <c r="M97" s="325">
        <f>+L97</f>
        <v>1652</v>
      </c>
      <c r="N97" s="326">
        <v>2478</v>
      </c>
      <c r="O97" s="340">
        <f t="shared" si="3"/>
        <v>-826</v>
      </c>
      <c r="P97" s="327"/>
      <c r="Q97" s="341"/>
    </row>
    <row r="98" spans="1:17" s="113" customFormat="1" ht="24.95" customHeight="1">
      <c r="A98" s="192"/>
      <c r="B98" s="107"/>
      <c r="C98" s="107"/>
      <c r="D98" s="241"/>
      <c r="E98" s="242"/>
      <c r="F98" s="243"/>
      <c r="G98" s="243"/>
      <c r="H98" s="473" t="s">
        <v>1363</v>
      </c>
      <c r="I98" s="473"/>
      <c r="J98" s="244"/>
      <c r="K98" s="244"/>
      <c r="L98" s="109"/>
      <c r="M98" s="325"/>
      <c r="N98" s="326"/>
      <c r="O98" s="340"/>
      <c r="P98" s="327"/>
      <c r="Q98" s="341"/>
    </row>
    <row r="99" spans="1:17" s="113" customFormat="1" ht="24.95" customHeight="1">
      <c r="A99" s="192"/>
      <c r="B99" s="107"/>
      <c r="C99" s="107"/>
      <c r="D99" s="241"/>
      <c r="E99" s="532" t="s">
        <v>1364</v>
      </c>
      <c r="F99" s="533"/>
      <c r="G99" s="533"/>
      <c r="H99" s="533"/>
      <c r="I99" s="533"/>
      <c r="J99" s="533"/>
      <c r="K99" s="533"/>
      <c r="L99" s="109">
        <f>ROUNDDOWN(25500*1*3*12*50%/1000,0)</f>
        <v>459</v>
      </c>
      <c r="M99" s="325">
        <f>+L99</f>
        <v>459</v>
      </c>
      <c r="N99" s="326"/>
      <c r="O99" s="340">
        <f t="shared" si="3"/>
        <v>459</v>
      </c>
      <c r="P99" s="327"/>
      <c r="Q99" s="341"/>
    </row>
    <row r="100" spans="1:17" s="113" customFormat="1" ht="24.95" customHeight="1">
      <c r="A100" s="192"/>
      <c r="B100" s="107"/>
      <c r="C100" s="107"/>
      <c r="D100" s="241"/>
      <c r="E100" s="472" t="s">
        <v>1937</v>
      </c>
      <c r="F100" s="473"/>
      <c r="G100" s="473"/>
      <c r="H100" s="473"/>
      <c r="I100" s="473"/>
      <c r="J100" s="474"/>
      <c r="K100" s="474"/>
      <c r="L100" s="109"/>
      <c r="M100" s="325"/>
      <c r="N100" s="326"/>
      <c r="O100" s="340"/>
      <c r="P100" s="327"/>
      <c r="Q100" s="341"/>
    </row>
    <row r="101" spans="1:17" s="113" customFormat="1" ht="24.95" customHeight="1">
      <c r="A101" s="192"/>
      <c r="B101" s="107"/>
      <c r="C101" s="107"/>
      <c r="D101" s="241"/>
      <c r="E101" s="242"/>
      <c r="F101" s="243"/>
      <c r="G101" s="243"/>
      <c r="H101" s="473" t="s">
        <v>1938</v>
      </c>
      <c r="I101" s="473"/>
      <c r="J101" s="244"/>
      <c r="K101" s="244"/>
      <c r="L101" s="109"/>
      <c r="M101" s="325"/>
      <c r="N101" s="326"/>
      <c r="O101" s="340"/>
      <c r="P101" s="327"/>
      <c r="Q101" s="341"/>
    </row>
    <row r="102" spans="1:17" s="113" customFormat="1" ht="24.95" customHeight="1">
      <c r="A102" s="192"/>
      <c r="B102" s="107"/>
      <c r="C102" s="107"/>
      <c r="D102" s="241"/>
      <c r="E102" s="532" t="s">
        <v>1134</v>
      </c>
      <c r="F102" s="533"/>
      <c r="G102" s="533"/>
      <c r="H102" s="533"/>
      <c r="I102" s="533"/>
      <c r="J102" s="533"/>
      <c r="K102" s="533"/>
      <c r="L102" s="109">
        <f>ROUNDDOWN(70000*2*5*0.004,0)</f>
        <v>2800</v>
      </c>
      <c r="M102" s="325">
        <f>+L102</f>
        <v>2800</v>
      </c>
      <c r="N102" s="326">
        <v>2800</v>
      </c>
      <c r="O102" s="340">
        <f t="shared" si="3"/>
        <v>0</v>
      </c>
      <c r="P102" s="327"/>
      <c r="Q102" s="341"/>
    </row>
    <row r="103" spans="1:17" s="113" customFormat="1" ht="24.95" customHeight="1">
      <c r="A103" s="192"/>
      <c r="B103" s="107"/>
      <c r="C103" s="107"/>
      <c r="D103" s="241"/>
      <c r="E103" s="242"/>
      <c r="F103" s="243"/>
      <c r="G103" s="243"/>
      <c r="H103" s="473" t="s">
        <v>1365</v>
      </c>
      <c r="I103" s="473"/>
      <c r="J103" s="244"/>
      <c r="K103" s="244"/>
      <c r="L103" s="109"/>
      <c r="M103" s="325"/>
      <c r="N103" s="326"/>
      <c r="O103" s="340"/>
      <c r="P103" s="327"/>
      <c r="Q103" s="341"/>
    </row>
    <row r="104" spans="1:17" s="113" customFormat="1" ht="24.95" customHeight="1">
      <c r="A104" s="192"/>
      <c r="B104" s="107"/>
      <c r="C104" s="107"/>
      <c r="D104" s="241"/>
      <c r="E104" s="532" t="s">
        <v>1366</v>
      </c>
      <c r="F104" s="533"/>
      <c r="G104" s="533"/>
      <c r="H104" s="533"/>
      <c r="I104" s="533"/>
      <c r="J104" s="533"/>
      <c r="K104" s="533"/>
      <c r="L104" s="109">
        <f>ROUNDDOWN(70000*2*5*4*90%/1000,0)</f>
        <v>2520</v>
      </c>
      <c r="M104" s="325">
        <f>+L104</f>
        <v>2520</v>
      </c>
      <c r="N104" s="326">
        <v>5040</v>
      </c>
      <c r="O104" s="340">
        <f t="shared" si="3"/>
        <v>-2520</v>
      </c>
      <c r="P104" s="327"/>
      <c r="Q104" s="341"/>
    </row>
    <row r="105" spans="1:17" s="113" customFormat="1" ht="24.95" customHeight="1">
      <c r="A105" s="192"/>
      <c r="B105" s="107"/>
      <c r="C105" s="107"/>
      <c r="D105" s="241"/>
      <c r="E105" s="242"/>
      <c r="F105" s="243"/>
      <c r="G105" s="243"/>
      <c r="H105" s="473" t="s">
        <v>1367</v>
      </c>
      <c r="I105" s="473"/>
      <c r="J105" s="244"/>
      <c r="K105" s="244"/>
      <c r="L105" s="109"/>
      <c r="M105" s="325"/>
      <c r="N105" s="326"/>
      <c r="O105" s="340"/>
      <c r="P105" s="327"/>
      <c r="Q105" s="341"/>
    </row>
    <row r="106" spans="1:17" s="113" customFormat="1" ht="24.95" customHeight="1">
      <c r="A106" s="192"/>
      <c r="B106" s="107"/>
      <c r="C106" s="107"/>
      <c r="D106" s="241"/>
      <c r="E106" s="532" t="s">
        <v>1368</v>
      </c>
      <c r="F106" s="533"/>
      <c r="G106" s="533"/>
      <c r="H106" s="533"/>
      <c r="I106" s="533"/>
      <c r="J106" s="533"/>
      <c r="K106" s="533"/>
      <c r="L106" s="109">
        <f>ROUNDDOWN(70000*2*5*4*50%/1000,0)</f>
        <v>1400</v>
      </c>
      <c r="M106" s="325">
        <f>+L106</f>
        <v>1400</v>
      </c>
      <c r="N106" s="326">
        <v>0</v>
      </c>
      <c r="O106" s="340">
        <f t="shared" si="3"/>
        <v>1400</v>
      </c>
      <c r="P106" s="327"/>
      <c r="Q106" s="341"/>
    </row>
    <row r="107" spans="1:17" s="113" customFormat="1" ht="24.95" customHeight="1">
      <c r="A107" s="192"/>
      <c r="B107" s="107"/>
      <c r="C107" s="107"/>
      <c r="D107" s="241"/>
      <c r="E107" s="242"/>
      <c r="F107" s="243"/>
      <c r="G107" s="243"/>
      <c r="H107" s="473" t="s">
        <v>1939</v>
      </c>
      <c r="I107" s="473"/>
      <c r="J107" s="244"/>
      <c r="K107" s="244"/>
      <c r="L107" s="109"/>
      <c r="M107" s="325"/>
      <c r="N107" s="326"/>
      <c r="O107" s="340"/>
      <c r="P107" s="327"/>
      <c r="Q107" s="341"/>
    </row>
    <row r="108" spans="1:17" s="113" customFormat="1" ht="24.95" customHeight="1">
      <c r="A108" s="192"/>
      <c r="B108" s="107"/>
      <c r="C108" s="107"/>
      <c r="D108" s="241"/>
      <c r="E108" s="532" t="s">
        <v>1135</v>
      </c>
      <c r="F108" s="533"/>
      <c r="G108" s="533"/>
      <c r="H108" s="533"/>
      <c r="I108" s="533"/>
      <c r="J108" s="533"/>
      <c r="K108" s="533"/>
      <c r="L108" s="109">
        <f>ROUNDDOWN(55000*1*5*0.004,0)</f>
        <v>1100</v>
      </c>
      <c r="M108" s="325">
        <f>+L108</f>
        <v>1100</v>
      </c>
      <c r="N108" s="326">
        <v>1100</v>
      </c>
      <c r="O108" s="340">
        <f t="shared" si="3"/>
        <v>0</v>
      </c>
      <c r="P108" s="327"/>
      <c r="Q108" s="341"/>
    </row>
    <row r="109" spans="1:17" s="113" customFormat="1" ht="24.95" customHeight="1">
      <c r="A109" s="192"/>
      <c r="B109" s="107"/>
      <c r="C109" s="107"/>
      <c r="D109" s="241"/>
      <c r="E109" s="242"/>
      <c r="F109" s="243"/>
      <c r="G109" s="243"/>
      <c r="H109" s="473" t="s">
        <v>1940</v>
      </c>
      <c r="I109" s="473"/>
      <c r="J109" s="244"/>
      <c r="K109" s="244"/>
      <c r="L109" s="109"/>
      <c r="M109" s="325"/>
      <c r="N109" s="326"/>
      <c r="O109" s="340"/>
      <c r="P109" s="327"/>
      <c r="Q109" s="341"/>
    </row>
    <row r="110" spans="1:17" s="113" customFormat="1" ht="24.95" customHeight="1">
      <c r="A110" s="192"/>
      <c r="B110" s="107"/>
      <c r="C110" s="107"/>
      <c r="D110" s="241"/>
      <c r="E110" s="532" t="s">
        <v>1136</v>
      </c>
      <c r="F110" s="533"/>
      <c r="G110" s="533"/>
      <c r="H110" s="533"/>
      <c r="I110" s="533"/>
      <c r="J110" s="533"/>
      <c r="K110" s="533"/>
      <c r="L110" s="109">
        <f>ROUNDDOWN(55000*1*5*4*90%/1000,0)</f>
        <v>990</v>
      </c>
      <c r="M110" s="325">
        <f>+L110</f>
        <v>990</v>
      </c>
      <c r="N110" s="326">
        <v>990</v>
      </c>
      <c r="O110" s="340">
        <f t="shared" si="3"/>
        <v>0</v>
      </c>
      <c r="P110" s="327"/>
      <c r="Q110" s="341"/>
    </row>
    <row r="111" spans="1:17" s="113" customFormat="1" ht="24.95" customHeight="1">
      <c r="A111" s="192"/>
      <c r="B111" s="107"/>
      <c r="C111" s="107"/>
      <c r="D111" s="241"/>
      <c r="E111" s="472" t="s">
        <v>1941</v>
      </c>
      <c r="F111" s="473"/>
      <c r="G111" s="473"/>
      <c r="H111" s="473"/>
      <c r="I111" s="473"/>
      <c r="J111" s="473"/>
      <c r="K111" s="244"/>
      <c r="L111" s="109"/>
      <c r="M111" s="325"/>
      <c r="N111" s="326"/>
      <c r="O111" s="340"/>
      <c r="P111" s="327"/>
      <c r="Q111" s="341"/>
    </row>
    <row r="112" spans="1:17" s="113" customFormat="1" ht="24.95" customHeight="1">
      <c r="A112" s="192"/>
      <c r="B112" s="107"/>
      <c r="C112" s="107"/>
      <c r="D112" s="241"/>
      <c r="E112" s="532" t="s">
        <v>1369</v>
      </c>
      <c r="F112" s="533"/>
      <c r="G112" s="533"/>
      <c r="H112" s="533"/>
      <c r="I112" s="533"/>
      <c r="J112" s="533"/>
      <c r="K112" s="533"/>
      <c r="L112" s="109">
        <f>ROUNDDOWN(55000*1*5*4*50%/1000,0)</f>
        <v>550</v>
      </c>
      <c r="M112" s="325">
        <f>+L112</f>
        <v>550</v>
      </c>
      <c r="N112" s="326">
        <v>0</v>
      </c>
      <c r="O112" s="340">
        <f t="shared" si="3"/>
        <v>550</v>
      </c>
      <c r="P112" s="327"/>
      <c r="Q112" s="341"/>
    </row>
    <row r="113" spans="1:17" s="113" customFormat="1" ht="24.95" customHeight="1">
      <c r="A113" s="192"/>
      <c r="B113" s="107"/>
      <c r="C113" s="107"/>
      <c r="D113" s="241"/>
      <c r="E113" s="472" t="s">
        <v>1137</v>
      </c>
      <c r="F113" s="473"/>
      <c r="G113" s="473"/>
      <c r="H113" s="473"/>
      <c r="I113" s="473"/>
      <c r="J113" s="474"/>
      <c r="K113" s="474"/>
      <c r="L113" s="109"/>
      <c r="M113" s="325"/>
      <c r="N113" s="326"/>
      <c r="O113" s="340"/>
      <c r="P113" s="327"/>
      <c r="Q113" s="341"/>
    </row>
    <row r="114" spans="1:17" s="113" customFormat="1" ht="24.95" customHeight="1">
      <c r="A114" s="192"/>
      <c r="B114" s="107"/>
      <c r="C114" s="107"/>
      <c r="D114" s="241"/>
      <c r="E114" s="242"/>
      <c r="F114" s="243"/>
      <c r="G114" s="243"/>
      <c r="H114" s="473" t="s">
        <v>1132</v>
      </c>
      <c r="I114" s="473"/>
      <c r="J114" s="244"/>
      <c r="K114" s="244"/>
      <c r="L114" s="109"/>
      <c r="M114" s="325"/>
      <c r="N114" s="326"/>
      <c r="O114" s="340"/>
      <c r="P114" s="327"/>
      <c r="Q114" s="341"/>
    </row>
    <row r="115" spans="1:17" s="113" customFormat="1" ht="24.95" customHeight="1">
      <c r="A115" s="192"/>
      <c r="B115" s="107"/>
      <c r="C115" s="107"/>
      <c r="D115" s="241"/>
      <c r="E115" s="532" t="s">
        <v>1370</v>
      </c>
      <c r="F115" s="533"/>
      <c r="G115" s="533"/>
      <c r="H115" s="533"/>
      <c r="I115" s="533"/>
      <c r="J115" s="533"/>
      <c r="K115" s="533"/>
      <c r="L115" s="109">
        <f>ROUNDDOWN(39000*14*0.012,0)</f>
        <v>6552</v>
      </c>
      <c r="M115" s="325">
        <f>+L115</f>
        <v>6552</v>
      </c>
      <c r="N115" s="326">
        <v>3744</v>
      </c>
      <c r="O115" s="340">
        <f t="shared" si="3"/>
        <v>2808</v>
      </c>
      <c r="P115" s="327"/>
      <c r="Q115" s="341" t="s">
        <v>1371</v>
      </c>
    </row>
    <row r="116" spans="1:17" s="113" customFormat="1" ht="24.95" customHeight="1">
      <c r="A116" s="192"/>
      <c r="B116" s="107"/>
      <c r="C116" s="107"/>
      <c r="D116" s="241"/>
      <c r="E116" s="472" t="s">
        <v>1942</v>
      </c>
      <c r="F116" s="473"/>
      <c r="G116" s="473"/>
      <c r="H116" s="473"/>
      <c r="I116" s="473"/>
      <c r="J116" s="474"/>
      <c r="K116" s="474"/>
      <c r="L116" s="109"/>
      <c r="M116" s="325"/>
      <c r="N116" s="326"/>
      <c r="O116" s="340"/>
      <c r="P116" s="327"/>
      <c r="Q116" s="341"/>
    </row>
    <row r="117" spans="1:17" s="113" customFormat="1" ht="24.95" customHeight="1">
      <c r="A117" s="192"/>
      <c r="B117" s="107"/>
      <c r="C117" s="107"/>
      <c r="D117" s="241"/>
      <c r="E117" s="242"/>
      <c r="F117" s="243"/>
      <c r="G117" s="243"/>
      <c r="H117" s="473" t="s">
        <v>1132</v>
      </c>
      <c r="I117" s="473"/>
      <c r="J117" s="244"/>
      <c r="K117" s="244"/>
      <c r="L117" s="109"/>
      <c r="M117" s="325"/>
      <c r="N117" s="326"/>
      <c r="O117" s="340"/>
      <c r="P117" s="327"/>
      <c r="Q117" s="341"/>
    </row>
    <row r="118" spans="1:17" s="113" customFormat="1" ht="24.95" customHeight="1">
      <c r="A118" s="192"/>
      <c r="B118" s="107"/>
      <c r="C118" s="107"/>
      <c r="D118" s="241"/>
      <c r="E118" s="532" t="s">
        <v>1372</v>
      </c>
      <c r="F118" s="533"/>
      <c r="G118" s="533"/>
      <c r="H118" s="533"/>
      <c r="I118" s="533"/>
      <c r="J118" s="533"/>
      <c r="K118" s="533"/>
      <c r="L118" s="109">
        <f>ROUNDDOWN(38400*8*0.012,0)</f>
        <v>3686</v>
      </c>
      <c r="M118" s="325">
        <f>+L118</f>
        <v>3686</v>
      </c>
      <c r="N118" s="326">
        <v>4608</v>
      </c>
      <c r="O118" s="340">
        <f t="shared" si="3"/>
        <v>-922</v>
      </c>
      <c r="P118" s="327"/>
      <c r="Q118" s="338" t="s">
        <v>1373</v>
      </c>
    </row>
    <row r="119" spans="1:17" s="113" customFormat="1" ht="24.95" customHeight="1">
      <c r="A119" s="192"/>
      <c r="B119" s="107"/>
      <c r="C119" s="107"/>
      <c r="D119" s="241"/>
      <c r="E119" s="242"/>
      <c r="F119" s="243"/>
      <c r="G119" s="243"/>
      <c r="H119" s="473" t="s">
        <v>1374</v>
      </c>
      <c r="I119" s="473"/>
      <c r="J119" s="244"/>
      <c r="K119" s="244"/>
      <c r="L119" s="109"/>
      <c r="M119" s="325"/>
      <c r="N119" s="326"/>
      <c r="O119" s="340"/>
      <c r="P119" s="327"/>
      <c r="Q119" s="341"/>
    </row>
    <row r="120" spans="1:17" s="111" customFormat="1" ht="24.95" customHeight="1">
      <c r="A120" s="192"/>
      <c r="B120" s="107"/>
      <c r="C120" s="107"/>
      <c r="D120" s="241"/>
      <c r="E120" s="532" t="s">
        <v>1375</v>
      </c>
      <c r="F120" s="533"/>
      <c r="G120" s="533"/>
      <c r="H120" s="533"/>
      <c r="I120" s="533"/>
      <c r="J120" s="533"/>
      <c r="K120" s="533"/>
      <c r="L120" s="109">
        <f>ROUNDDOWN(38400*4*12*50%/1000,0)</f>
        <v>921</v>
      </c>
      <c r="M120" s="325">
        <f>+L120</f>
        <v>921</v>
      </c>
      <c r="N120" s="326">
        <v>0</v>
      </c>
      <c r="O120" s="340">
        <f t="shared" si="3"/>
        <v>921</v>
      </c>
      <c r="P120" s="327"/>
      <c r="Q120" s="341"/>
    </row>
    <row r="121" spans="1:17" s="111" customFormat="1" ht="24.95" customHeight="1">
      <c r="A121" s="192"/>
      <c r="B121" s="107"/>
      <c r="C121" s="107"/>
      <c r="D121" s="241"/>
      <c r="E121" s="242"/>
      <c r="F121" s="243"/>
      <c r="G121" s="243"/>
      <c r="H121" s="473" t="s">
        <v>1133</v>
      </c>
      <c r="I121" s="473"/>
      <c r="J121" s="244"/>
      <c r="K121" s="244"/>
      <c r="L121" s="109"/>
      <c r="M121" s="325"/>
      <c r="N121" s="326"/>
      <c r="O121" s="340"/>
      <c r="P121" s="327"/>
      <c r="Q121" s="341"/>
    </row>
    <row r="122" spans="1:17" s="113" customFormat="1" ht="24.95" customHeight="1">
      <c r="A122" s="192"/>
      <c r="B122" s="107"/>
      <c r="C122" s="107"/>
      <c r="D122" s="241"/>
      <c r="E122" s="532" t="s">
        <v>1376</v>
      </c>
      <c r="F122" s="533"/>
      <c r="G122" s="533"/>
      <c r="H122" s="533"/>
      <c r="I122" s="533"/>
      <c r="J122" s="533"/>
      <c r="K122" s="533"/>
      <c r="L122" s="109">
        <f>ROUNDDOWN(27600*8*0.012,0)</f>
        <v>2649</v>
      </c>
      <c r="M122" s="325">
        <f>+L122</f>
        <v>2649</v>
      </c>
      <c r="N122" s="326">
        <v>3974</v>
      </c>
      <c r="O122" s="340">
        <f t="shared" si="3"/>
        <v>-1325</v>
      </c>
      <c r="P122" s="327"/>
      <c r="Q122" s="338"/>
    </row>
    <row r="123" spans="1:17" s="113" customFormat="1" ht="24.95" customHeight="1">
      <c r="A123" s="192"/>
      <c r="B123" s="107"/>
      <c r="C123" s="107"/>
      <c r="D123" s="241"/>
      <c r="E123" s="242"/>
      <c r="F123" s="243"/>
      <c r="G123" s="243"/>
      <c r="H123" s="473" t="s">
        <v>1357</v>
      </c>
      <c r="I123" s="473"/>
      <c r="J123" s="244"/>
      <c r="K123" s="244"/>
      <c r="L123" s="109"/>
      <c r="M123" s="325"/>
      <c r="N123" s="326"/>
      <c r="O123" s="340"/>
      <c r="P123" s="327"/>
      <c r="Q123" s="341"/>
    </row>
    <row r="124" spans="1:17" s="113" customFormat="1" ht="24.95" customHeight="1">
      <c r="A124" s="192"/>
      <c r="B124" s="107"/>
      <c r="C124" s="107"/>
      <c r="D124" s="241"/>
      <c r="E124" s="532" t="s">
        <v>1377</v>
      </c>
      <c r="F124" s="533"/>
      <c r="G124" s="533"/>
      <c r="H124" s="533"/>
      <c r="I124" s="533"/>
      <c r="J124" s="533"/>
      <c r="K124" s="533"/>
      <c r="L124" s="109">
        <f>ROUNDDOWN(27600*4*12*50%/1000,0)</f>
        <v>662</v>
      </c>
      <c r="M124" s="325">
        <f>+L124</f>
        <v>662</v>
      </c>
      <c r="N124" s="326">
        <v>0</v>
      </c>
      <c r="O124" s="340">
        <f t="shared" si="3"/>
        <v>662</v>
      </c>
      <c r="P124" s="327"/>
      <c r="Q124" s="341"/>
    </row>
    <row r="125" spans="1:17" s="113" customFormat="1" ht="24.95" customHeight="1">
      <c r="A125" s="192"/>
      <c r="B125" s="107"/>
      <c r="C125" s="107"/>
      <c r="D125" s="241"/>
      <c r="E125" s="472" t="s">
        <v>1943</v>
      </c>
      <c r="F125" s="473"/>
      <c r="G125" s="473"/>
      <c r="H125" s="473"/>
      <c r="I125" s="473"/>
      <c r="J125" s="474"/>
      <c r="K125" s="474"/>
      <c r="L125" s="109"/>
      <c r="M125" s="325"/>
      <c r="N125" s="326"/>
      <c r="O125" s="340"/>
      <c r="P125" s="327"/>
      <c r="Q125" s="341"/>
    </row>
    <row r="126" spans="1:17" s="113" customFormat="1" ht="24.95" customHeight="1">
      <c r="A126" s="192"/>
      <c r="B126" s="107"/>
      <c r="C126" s="107"/>
      <c r="D126" s="241"/>
      <c r="E126" s="242"/>
      <c r="F126" s="243"/>
      <c r="G126" s="243"/>
      <c r="H126" s="473" t="s">
        <v>1139</v>
      </c>
      <c r="I126" s="473"/>
      <c r="J126" s="244"/>
      <c r="K126" s="244"/>
      <c r="L126" s="109"/>
      <c r="M126" s="325"/>
      <c r="N126" s="326"/>
      <c r="O126" s="340"/>
      <c r="P126" s="327"/>
      <c r="Q126" s="341"/>
    </row>
    <row r="127" spans="1:17" s="113" customFormat="1" ht="24.95" customHeight="1">
      <c r="A127" s="192"/>
      <c r="B127" s="107"/>
      <c r="C127" s="107"/>
      <c r="D127" s="241"/>
      <c r="E127" s="532" t="s">
        <v>1378</v>
      </c>
      <c r="F127" s="533"/>
      <c r="G127" s="533"/>
      <c r="H127" s="533"/>
      <c r="I127" s="533"/>
      <c r="J127" s="533"/>
      <c r="K127" s="533"/>
      <c r="L127" s="109">
        <f>ROUNDDOWN(52000*8*2*0.012,0)</f>
        <v>9984</v>
      </c>
      <c r="M127" s="325">
        <f>+L127</f>
        <v>9984</v>
      </c>
      <c r="N127" s="326">
        <v>19968</v>
      </c>
      <c r="O127" s="340">
        <f t="shared" si="3"/>
        <v>-9984</v>
      </c>
      <c r="P127" s="327"/>
      <c r="Q127" s="341"/>
    </row>
    <row r="128" spans="1:17" s="113" customFormat="1" ht="24.95" customHeight="1">
      <c r="A128" s="192"/>
      <c r="B128" s="107"/>
      <c r="C128" s="107"/>
      <c r="D128" s="241"/>
      <c r="E128" s="242"/>
      <c r="F128" s="243"/>
      <c r="G128" s="243"/>
      <c r="H128" s="473" t="s">
        <v>1944</v>
      </c>
      <c r="I128" s="473"/>
      <c r="J128" s="244"/>
      <c r="K128" s="244"/>
      <c r="L128" s="109"/>
      <c r="M128" s="325"/>
      <c r="N128" s="326"/>
      <c r="O128" s="340"/>
      <c r="P128" s="327"/>
      <c r="Q128" s="341"/>
    </row>
    <row r="129" spans="1:17" s="113" customFormat="1" ht="24.95" customHeight="1">
      <c r="A129" s="192"/>
      <c r="B129" s="107"/>
      <c r="C129" s="107"/>
      <c r="D129" s="241"/>
      <c r="E129" s="532" t="s">
        <v>1379</v>
      </c>
      <c r="F129" s="533"/>
      <c r="G129" s="533"/>
      <c r="H129" s="533"/>
      <c r="I129" s="533"/>
      <c r="J129" s="533"/>
      <c r="K129" s="533"/>
      <c r="L129" s="109">
        <f>ROUNDDOWN(52000*1*2*12*90%/1000,0)</f>
        <v>1123</v>
      </c>
      <c r="M129" s="325">
        <f>+L129</f>
        <v>1123</v>
      </c>
      <c r="N129" s="326">
        <v>2246</v>
      </c>
      <c r="O129" s="340">
        <f t="shared" si="3"/>
        <v>-1123</v>
      </c>
      <c r="P129" s="327"/>
      <c r="Q129" s="341"/>
    </row>
    <row r="130" spans="1:17" s="113" customFormat="1" ht="24.95" customHeight="1">
      <c r="A130" s="192"/>
      <c r="B130" s="107"/>
      <c r="C130" s="107"/>
      <c r="D130" s="241"/>
      <c r="E130" s="242"/>
      <c r="F130" s="243"/>
      <c r="G130" s="243"/>
      <c r="H130" s="473" t="s">
        <v>1945</v>
      </c>
      <c r="I130" s="473"/>
      <c r="J130" s="244"/>
      <c r="K130" s="244"/>
      <c r="L130" s="109"/>
      <c r="M130" s="325"/>
      <c r="N130" s="326"/>
      <c r="O130" s="340"/>
      <c r="P130" s="327"/>
      <c r="Q130" s="341"/>
    </row>
    <row r="131" spans="1:17" s="113" customFormat="1" ht="24.95" customHeight="1">
      <c r="A131" s="192"/>
      <c r="B131" s="107"/>
      <c r="C131" s="107"/>
      <c r="D131" s="241"/>
      <c r="E131" s="532" t="s">
        <v>1380</v>
      </c>
      <c r="F131" s="533"/>
      <c r="G131" s="533"/>
      <c r="H131" s="533"/>
      <c r="I131" s="533"/>
      <c r="J131" s="533"/>
      <c r="K131" s="533"/>
      <c r="L131" s="109">
        <f>ROUNDDOWN(52000*6*2*12*50%/1000,0)</f>
        <v>3744</v>
      </c>
      <c r="M131" s="325">
        <f>+L131</f>
        <v>3744</v>
      </c>
      <c r="N131" s="326">
        <v>0</v>
      </c>
      <c r="O131" s="340">
        <f t="shared" si="3"/>
        <v>3744</v>
      </c>
      <c r="P131" s="327"/>
      <c r="Q131" s="341"/>
    </row>
    <row r="132" spans="1:17" s="113" customFormat="1" ht="24.95" customHeight="1">
      <c r="A132" s="192"/>
      <c r="B132" s="107"/>
      <c r="C132" s="107"/>
      <c r="D132" s="241"/>
      <c r="E132" s="242"/>
      <c r="F132" s="243"/>
      <c r="G132" s="243"/>
      <c r="H132" s="473" t="s">
        <v>1132</v>
      </c>
      <c r="I132" s="473"/>
      <c r="J132" s="244"/>
      <c r="K132" s="244"/>
      <c r="L132" s="109"/>
      <c r="M132" s="325"/>
      <c r="N132" s="326"/>
      <c r="O132" s="340"/>
      <c r="P132" s="327"/>
      <c r="Q132" s="341"/>
    </row>
    <row r="133" spans="1:17" s="113" customFormat="1" ht="24.95" customHeight="1">
      <c r="A133" s="192"/>
      <c r="B133" s="107"/>
      <c r="C133" s="107"/>
      <c r="D133" s="241"/>
      <c r="E133" s="532" t="s">
        <v>1381</v>
      </c>
      <c r="F133" s="533"/>
      <c r="G133" s="533"/>
      <c r="H133" s="533"/>
      <c r="I133" s="533"/>
      <c r="J133" s="533"/>
      <c r="K133" s="533"/>
      <c r="L133" s="109">
        <f>ROUNDDOWN(32000*9*7*0.012,0)</f>
        <v>24192</v>
      </c>
      <c r="M133" s="325">
        <f>+L133</f>
        <v>24192</v>
      </c>
      <c r="N133" s="326">
        <v>37632</v>
      </c>
      <c r="O133" s="340">
        <f t="shared" si="3"/>
        <v>-13440</v>
      </c>
      <c r="P133" s="327"/>
      <c r="Q133" s="341"/>
    </row>
    <row r="134" spans="1:17" s="113" customFormat="1" ht="24.95" customHeight="1">
      <c r="A134" s="192"/>
      <c r="B134" s="107"/>
      <c r="C134" s="107"/>
      <c r="D134" s="241"/>
      <c r="E134" s="242"/>
      <c r="F134" s="243"/>
      <c r="G134" s="243"/>
      <c r="H134" s="473" t="s">
        <v>1359</v>
      </c>
      <c r="I134" s="473"/>
      <c r="J134" s="244"/>
      <c r="K134" s="244"/>
      <c r="L134" s="109"/>
      <c r="M134" s="325"/>
      <c r="N134" s="326"/>
      <c r="O134" s="340"/>
      <c r="P134" s="327"/>
      <c r="Q134" s="341"/>
    </row>
    <row r="135" spans="1:17" s="113" customFormat="1" ht="24.95" customHeight="1">
      <c r="A135" s="192"/>
      <c r="B135" s="107"/>
      <c r="C135" s="107"/>
      <c r="D135" s="241"/>
      <c r="E135" s="532" t="s">
        <v>1382</v>
      </c>
      <c r="F135" s="533"/>
      <c r="G135" s="533"/>
      <c r="H135" s="533"/>
      <c r="I135" s="533"/>
      <c r="J135" s="533"/>
      <c r="K135" s="533"/>
      <c r="L135" s="109">
        <f>ROUNDDOWN(32000*2*7*12*90%/1000,0)</f>
        <v>4838</v>
      </c>
      <c r="M135" s="325">
        <f>+L135</f>
        <v>4838</v>
      </c>
      <c r="N135" s="326">
        <v>9676</v>
      </c>
      <c r="O135" s="340">
        <f t="shared" si="3"/>
        <v>-4838</v>
      </c>
      <c r="P135" s="327"/>
      <c r="Q135" s="341"/>
    </row>
    <row r="136" spans="1:17" s="113" customFormat="1" ht="24.95" customHeight="1">
      <c r="A136" s="192"/>
      <c r="B136" s="107"/>
      <c r="C136" s="107"/>
      <c r="D136" s="241"/>
      <c r="E136" s="242"/>
      <c r="F136" s="243"/>
      <c r="G136" s="243"/>
      <c r="H136" s="473" t="s">
        <v>1353</v>
      </c>
      <c r="I136" s="473"/>
      <c r="J136" s="244"/>
      <c r="K136" s="244"/>
      <c r="L136" s="109"/>
      <c r="M136" s="325"/>
      <c r="N136" s="326"/>
      <c r="O136" s="340"/>
      <c r="P136" s="327"/>
      <c r="Q136" s="341"/>
    </row>
    <row r="137" spans="1:17" s="113" customFormat="1" ht="24.95" customHeight="1">
      <c r="A137" s="192"/>
      <c r="B137" s="107"/>
      <c r="C137" s="107"/>
      <c r="D137" s="241"/>
      <c r="E137" s="532" t="s">
        <v>1383</v>
      </c>
      <c r="F137" s="533"/>
      <c r="G137" s="533"/>
      <c r="H137" s="533"/>
      <c r="I137" s="533"/>
      <c r="J137" s="533"/>
      <c r="K137" s="533"/>
      <c r="L137" s="109">
        <f>ROUNDDOWN(32000*7*7*12*50%/1000,0)</f>
        <v>9408</v>
      </c>
      <c r="M137" s="325">
        <f>+L137</f>
        <v>9408</v>
      </c>
      <c r="N137" s="326">
        <v>0</v>
      </c>
      <c r="O137" s="340">
        <f t="shared" si="3"/>
        <v>9408</v>
      </c>
      <c r="P137" s="327"/>
      <c r="Q137" s="341"/>
    </row>
    <row r="138" spans="1:17" s="113" customFormat="1" ht="24.95" customHeight="1">
      <c r="A138" s="192"/>
      <c r="B138" s="107"/>
      <c r="C138" s="107"/>
      <c r="D138" s="241"/>
      <c r="E138" s="242"/>
      <c r="F138" s="243"/>
      <c r="G138" s="243"/>
      <c r="H138" s="473" t="s">
        <v>1133</v>
      </c>
      <c r="I138" s="473"/>
      <c r="J138" s="244"/>
      <c r="K138" s="244"/>
      <c r="L138" s="109"/>
      <c r="M138" s="325"/>
      <c r="N138" s="326"/>
      <c r="O138" s="340"/>
      <c r="P138" s="327"/>
      <c r="Q138" s="341"/>
    </row>
    <row r="139" spans="1:17" s="113" customFormat="1" ht="24.95" customHeight="1">
      <c r="A139" s="192"/>
      <c r="B139" s="107"/>
      <c r="C139" s="107"/>
      <c r="D139" s="241"/>
      <c r="E139" s="532" t="s">
        <v>1384</v>
      </c>
      <c r="F139" s="533"/>
      <c r="G139" s="533"/>
      <c r="H139" s="533"/>
      <c r="I139" s="533"/>
      <c r="J139" s="533"/>
      <c r="K139" s="533"/>
      <c r="L139" s="109">
        <f>ROUNDDOWN(21300*9*8*0.012,0)</f>
        <v>18403</v>
      </c>
      <c r="M139" s="325">
        <f>+L139</f>
        <v>18403</v>
      </c>
      <c r="N139" s="326">
        <v>25048</v>
      </c>
      <c r="O139" s="340">
        <f t="shared" si="3"/>
        <v>-6645</v>
      </c>
      <c r="P139" s="327"/>
      <c r="Q139" s="341"/>
    </row>
    <row r="140" spans="1:17" s="113" customFormat="1" ht="24.95" customHeight="1">
      <c r="A140" s="192"/>
      <c r="B140" s="107"/>
      <c r="C140" s="107"/>
      <c r="D140" s="241"/>
      <c r="E140" s="242"/>
      <c r="F140" s="243"/>
      <c r="G140" s="243"/>
      <c r="H140" s="473" t="s">
        <v>1935</v>
      </c>
      <c r="I140" s="473"/>
      <c r="J140" s="244"/>
      <c r="K140" s="244"/>
      <c r="L140" s="109"/>
      <c r="M140" s="325"/>
      <c r="N140" s="326"/>
      <c r="O140" s="340"/>
      <c r="P140" s="327"/>
      <c r="Q140" s="341"/>
    </row>
    <row r="141" spans="1:17" s="113" customFormat="1" ht="24.95" customHeight="1">
      <c r="A141" s="192"/>
      <c r="B141" s="107"/>
      <c r="C141" s="107"/>
      <c r="D141" s="241"/>
      <c r="E141" s="532" t="s">
        <v>1385</v>
      </c>
      <c r="F141" s="533"/>
      <c r="G141" s="533"/>
      <c r="H141" s="533"/>
      <c r="I141" s="533"/>
      <c r="J141" s="533"/>
      <c r="K141" s="533"/>
      <c r="L141" s="109">
        <f>ROUNDDOWN(21300*2*8*12*90%/1000,0)</f>
        <v>3680</v>
      </c>
      <c r="M141" s="325">
        <f>+L141</f>
        <v>3680</v>
      </c>
      <c r="N141" s="326">
        <v>6441</v>
      </c>
      <c r="O141" s="340">
        <f t="shared" si="3"/>
        <v>-2761</v>
      </c>
      <c r="P141" s="327"/>
      <c r="Q141" s="341"/>
    </row>
    <row r="142" spans="1:17" s="113" customFormat="1" ht="24.95" customHeight="1">
      <c r="A142" s="192"/>
      <c r="B142" s="107"/>
      <c r="C142" s="107"/>
      <c r="D142" s="241"/>
      <c r="E142" s="242"/>
      <c r="F142" s="243"/>
      <c r="G142" s="243"/>
      <c r="H142" s="473" t="s">
        <v>1363</v>
      </c>
      <c r="I142" s="473"/>
      <c r="J142" s="244"/>
      <c r="K142" s="244"/>
      <c r="L142" s="109"/>
      <c r="M142" s="325"/>
      <c r="N142" s="326"/>
      <c r="O142" s="340"/>
      <c r="P142" s="327"/>
      <c r="Q142" s="341"/>
    </row>
    <row r="143" spans="1:17" s="113" customFormat="1" ht="24.95" customHeight="1">
      <c r="A143" s="192"/>
      <c r="B143" s="107"/>
      <c r="C143" s="107"/>
      <c r="D143" s="241"/>
      <c r="E143" s="532" t="s">
        <v>1386</v>
      </c>
      <c r="F143" s="533"/>
      <c r="G143" s="533"/>
      <c r="H143" s="533"/>
      <c r="I143" s="533"/>
      <c r="J143" s="533"/>
      <c r="K143" s="533"/>
      <c r="L143" s="109">
        <f>ROUNDDOWN(21300*7*8*12*50%/1000,0)</f>
        <v>7156</v>
      </c>
      <c r="M143" s="325">
        <f>+L143</f>
        <v>7156</v>
      </c>
      <c r="N143" s="326">
        <v>0</v>
      </c>
      <c r="O143" s="340">
        <f t="shared" si="3"/>
        <v>7156</v>
      </c>
      <c r="P143" s="327"/>
      <c r="Q143" s="341"/>
    </row>
    <row r="144" spans="1:17" s="111" customFormat="1" ht="24.95" customHeight="1">
      <c r="A144" s="192"/>
      <c r="B144" s="107"/>
      <c r="C144" s="107"/>
      <c r="D144" s="241"/>
      <c r="E144" s="472" t="s">
        <v>1140</v>
      </c>
      <c r="F144" s="473"/>
      <c r="G144" s="473"/>
      <c r="H144" s="473"/>
      <c r="I144" s="473"/>
      <c r="J144" s="474"/>
      <c r="K144" s="474"/>
      <c r="L144" s="109"/>
      <c r="M144" s="325"/>
      <c r="N144" s="326"/>
      <c r="O144" s="340"/>
      <c r="P144" s="327"/>
      <c r="Q144" s="341"/>
    </row>
    <row r="145" spans="1:17" s="113" customFormat="1" ht="24.95" customHeight="1">
      <c r="A145" s="192"/>
      <c r="B145" s="107"/>
      <c r="C145" s="107"/>
      <c r="D145" s="241"/>
      <c r="E145" s="242"/>
      <c r="F145" s="243"/>
      <c r="G145" s="243"/>
      <c r="H145" s="473" t="s">
        <v>1946</v>
      </c>
      <c r="I145" s="473"/>
      <c r="J145" s="244"/>
      <c r="K145" s="244"/>
      <c r="L145" s="109"/>
      <c r="M145" s="325"/>
      <c r="N145" s="326"/>
      <c r="O145" s="340"/>
      <c r="P145" s="327"/>
      <c r="Q145" s="341"/>
    </row>
    <row r="146" spans="1:17" s="113" customFormat="1" ht="24.95" customHeight="1">
      <c r="A146" s="192"/>
      <c r="B146" s="107"/>
      <c r="C146" s="107"/>
      <c r="D146" s="241"/>
      <c r="E146" s="532" t="s">
        <v>1141</v>
      </c>
      <c r="F146" s="533"/>
      <c r="G146" s="533"/>
      <c r="H146" s="533"/>
      <c r="I146" s="533"/>
      <c r="J146" s="533"/>
      <c r="K146" s="533"/>
      <c r="L146" s="109">
        <f>ROUNDDOWN(31200*3*0.012,0)</f>
        <v>1123</v>
      </c>
      <c r="M146" s="325">
        <f>+L146</f>
        <v>1123</v>
      </c>
      <c r="N146" s="326">
        <v>1123</v>
      </c>
      <c r="O146" s="340">
        <f t="shared" si="3"/>
        <v>0</v>
      </c>
      <c r="P146" s="327"/>
      <c r="Q146" s="341"/>
    </row>
    <row r="147" spans="1:17" s="113" customFormat="1" ht="24.95" customHeight="1">
      <c r="A147" s="192"/>
      <c r="B147" s="107"/>
      <c r="C147" s="107"/>
      <c r="D147" s="241"/>
      <c r="E147" s="242"/>
      <c r="F147" s="243"/>
      <c r="G147" s="243"/>
      <c r="H147" s="473" t="s">
        <v>1947</v>
      </c>
      <c r="I147" s="473"/>
      <c r="J147" s="244"/>
      <c r="K147" s="244"/>
      <c r="L147" s="109"/>
      <c r="M147" s="325"/>
      <c r="N147" s="326"/>
      <c r="O147" s="340"/>
      <c r="P147" s="327"/>
      <c r="Q147" s="341"/>
    </row>
    <row r="148" spans="1:17" s="113" customFormat="1" ht="24.95" customHeight="1">
      <c r="A148" s="192"/>
      <c r="B148" s="107"/>
      <c r="C148" s="107"/>
      <c r="D148" s="241"/>
      <c r="E148" s="532" t="s">
        <v>1387</v>
      </c>
      <c r="F148" s="533"/>
      <c r="G148" s="533"/>
      <c r="H148" s="533"/>
      <c r="I148" s="533"/>
      <c r="J148" s="533"/>
      <c r="K148" s="533"/>
      <c r="L148" s="109">
        <f>ROUNDDOWN(36400*2*0.012,0)</f>
        <v>873</v>
      </c>
      <c r="M148" s="325">
        <f>+L148</f>
        <v>873</v>
      </c>
      <c r="N148" s="326">
        <v>1310</v>
      </c>
      <c r="O148" s="340">
        <f t="shared" ref="O148:O216" si="4">+M148-N148</f>
        <v>-437</v>
      </c>
      <c r="P148" s="327"/>
      <c r="Q148" s="341"/>
    </row>
    <row r="149" spans="1:17" s="113" customFormat="1" ht="24.95" customHeight="1">
      <c r="A149" s="192"/>
      <c r="B149" s="107"/>
      <c r="C149" s="107"/>
      <c r="D149" s="241"/>
      <c r="E149" s="242"/>
      <c r="F149" s="243"/>
      <c r="G149" s="243"/>
      <c r="H149" s="473" t="s">
        <v>1948</v>
      </c>
      <c r="I149" s="473"/>
      <c r="J149" s="244"/>
      <c r="K149" s="244"/>
      <c r="L149" s="109"/>
      <c r="M149" s="325"/>
      <c r="N149" s="326"/>
      <c r="O149" s="340"/>
      <c r="P149" s="327"/>
      <c r="Q149" s="341"/>
    </row>
    <row r="150" spans="1:17" s="113" customFormat="1" ht="24.95" customHeight="1">
      <c r="A150" s="192"/>
      <c r="B150" s="107"/>
      <c r="C150" s="107"/>
      <c r="D150" s="241"/>
      <c r="E150" s="532" t="s">
        <v>1388</v>
      </c>
      <c r="F150" s="533"/>
      <c r="G150" s="533"/>
      <c r="H150" s="533"/>
      <c r="I150" s="533"/>
      <c r="J150" s="533"/>
      <c r="K150" s="533"/>
      <c r="L150" s="109">
        <f>ROUNDDOWN(36400*1*12*50%/1000,0)</f>
        <v>218</v>
      </c>
      <c r="M150" s="325">
        <f>+L150</f>
        <v>218</v>
      </c>
      <c r="N150" s="326">
        <v>0</v>
      </c>
      <c r="O150" s="340">
        <f t="shared" si="4"/>
        <v>218</v>
      </c>
      <c r="P150" s="327"/>
      <c r="Q150" s="341"/>
    </row>
    <row r="151" spans="1:17" s="113" customFormat="1" ht="24.95" customHeight="1">
      <c r="A151" s="192"/>
      <c r="B151" s="107"/>
      <c r="C151" s="107"/>
      <c r="D151" s="241"/>
      <c r="E151" s="472" t="s">
        <v>1949</v>
      </c>
      <c r="F151" s="473"/>
      <c r="G151" s="473"/>
      <c r="H151" s="473"/>
      <c r="I151" s="473"/>
      <c r="J151" s="474"/>
      <c r="K151" s="474"/>
      <c r="L151" s="109"/>
      <c r="M151" s="325"/>
      <c r="N151" s="326"/>
      <c r="O151" s="340"/>
      <c r="P151" s="327"/>
      <c r="Q151" s="341"/>
    </row>
    <row r="152" spans="1:17" s="113" customFormat="1" ht="24.95" customHeight="1">
      <c r="A152" s="192"/>
      <c r="B152" s="107"/>
      <c r="C152" s="107"/>
      <c r="D152" s="241"/>
      <c r="E152" s="242"/>
      <c r="F152" s="243"/>
      <c r="G152" s="243"/>
      <c r="H152" s="473" t="s">
        <v>1139</v>
      </c>
      <c r="I152" s="473"/>
      <c r="J152" s="244"/>
      <c r="K152" s="244"/>
      <c r="L152" s="109"/>
      <c r="M152" s="325"/>
      <c r="N152" s="326"/>
      <c r="O152" s="340"/>
      <c r="P152" s="327"/>
      <c r="Q152" s="341"/>
    </row>
    <row r="153" spans="1:17" s="113" customFormat="1" ht="24.95" customHeight="1">
      <c r="A153" s="192"/>
      <c r="B153" s="107"/>
      <c r="C153" s="107"/>
      <c r="D153" s="241"/>
      <c r="E153" s="532" t="s">
        <v>1142</v>
      </c>
      <c r="F153" s="533"/>
      <c r="G153" s="533"/>
      <c r="H153" s="533"/>
      <c r="I153" s="533"/>
      <c r="J153" s="533"/>
      <c r="K153" s="533"/>
      <c r="L153" s="109">
        <f>ROUNDDOWN(48000*15*0.012,0)</f>
        <v>8640</v>
      </c>
      <c r="M153" s="325">
        <f>+L153</f>
        <v>8640</v>
      </c>
      <c r="N153" s="326">
        <v>8640</v>
      </c>
      <c r="O153" s="340">
        <f t="shared" si="4"/>
        <v>0</v>
      </c>
      <c r="P153" s="327"/>
      <c r="Q153" s="341"/>
    </row>
    <row r="154" spans="1:17" s="113" customFormat="1" ht="24.95" customHeight="1">
      <c r="A154" s="192"/>
      <c r="B154" s="107"/>
      <c r="C154" s="107"/>
      <c r="D154" s="241"/>
      <c r="E154" s="472" t="s">
        <v>1143</v>
      </c>
      <c r="F154" s="473"/>
      <c r="G154" s="473"/>
      <c r="H154" s="473"/>
      <c r="I154" s="473"/>
      <c r="J154" s="474"/>
      <c r="K154" s="474"/>
      <c r="L154" s="109"/>
      <c r="M154" s="325"/>
      <c r="N154" s="326"/>
      <c r="O154" s="340"/>
      <c r="P154" s="327"/>
      <c r="Q154" s="341"/>
    </row>
    <row r="155" spans="1:17" s="113" customFormat="1" ht="24.95" customHeight="1">
      <c r="A155" s="192"/>
      <c r="B155" s="107"/>
      <c r="C155" s="107"/>
      <c r="D155" s="241"/>
      <c r="E155" s="532" t="s">
        <v>1389</v>
      </c>
      <c r="F155" s="533"/>
      <c r="G155" s="533"/>
      <c r="H155" s="533"/>
      <c r="I155" s="533"/>
      <c r="J155" s="533"/>
      <c r="K155" s="533"/>
      <c r="L155" s="109">
        <f>ROUNDDOWN(32000*10*4*0.002,0)</f>
        <v>2560</v>
      </c>
      <c r="M155" s="325">
        <f>+L155</f>
        <v>2560</v>
      </c>
      <c r="N155" s="326">
        <v>2880</v>
      </c>
      <c r="O155" s="340">
        <f t="shared" si="4"/>
        <v>-320</v>
      </c>
      <c r="P155" s="327"/>
      <c r="Q155" s="338" t="s">
        <v>1390</v>
      </c>
    </row>
    <row r="156" spans="1:17" s="113" customFormat="1" ht="24.95" customHeight="1">
      <c r="A156" s="192"/>
      <c r="B156" s="107"/>
      <c r="C156" s="107"/>
      <c r="D156" s="241"/>
      <c r="E156" s="472" t="s">
        <v>1391</v>
      </c>
      <c r="F156" s="473"/>
      <c r="G156" s="473"/>
      <c r="H156" s="473"/>
      <c r="I156" s="473"/>
      <c r="J156" s="474"/>
      <c r="K156" s="474"/>
      <c r="L156" s="109"/>
      <c r="M156" s="325"/>
      <c r="N156" s="326"/>
      <c r="O156" s="340"/>
      <c r="P156" s="327"/>
      <c r="Q156" s="341"/>
    </row>
    <row r="157" spans="1:17" s="113" customFormat="1" ht="24.95" customHeight="1">
      <c r="A157" s="192"/>
      <c r="B157" s="107"/>
      <c r="C157" s="107"/>
      <c r="D157" s="241"/>
      <c r="E157" s="532" t="s">
        <v>1392</v>
      </c>
      <c r="F157" s="533"/>
      <c r="G157" s="533"/>
      <c r="H157" s="533"/>
      <c r="I157" s="533"/>
      <c r="J157" s="533"/>
      <c r="K157" s="533"/>
      <c r="L157" s="109">
        <f>ROUNDDOWN(32000*6*4*2*50%/1000,0)</f>
        <v>768</v>
      </c>
      <c r="M157" s="325">
        <f>+L157</f>
        <v>768</v>
      </c>
      <c r="N157" s="326">
        <v>0</v>
      </c>
      <c r="O157" s="340">
        <f t="shared" si="4"/>
        <v>768</v>
      </c>
      <c r="P157" s="327"/>
      <c r="Q157" s="341"/>
    </row>
    <row r="158" spans="1:17" s="113" customFormat="1" ht="24.95" customHeight="1">
      <c r="A158" s="192"/>
      <c r="B158" s="107"/>
      <c r="C158" s="107"/>
      <c r="D158" s="241"/>
      <c r="E158" s="472" t="s">
        <v>1144</v>
      </c>
      <c r="F158" s="473"/>
      <c r="G158" s="473"/>
      <c r="H158" s="473"/>
      <c r="I158" s="473"/>
      <c r="J158" s="474"/>
      <c r="K158" s="474"/>
      <c r="L158" s="109"/>
      <c r="M158" s="325"/>
      <c r="N158" s="326"/>
      <c r="O158" s="340"/>
      <c r="P158" s="327"/>
      <c r="Q158" s="341"/>
    </row>
    <row r="159" spans="1:17" s="113" customFormat="1" ht="24.95" customHeight="1">
      <c r="A159" s="192"/>
      <c r="B159" s="107"/>
      <c r="C159" s="107"/>
      <c r="D159" s="241"/>
      <c r="E159" s="532" t="s">
        <v>1393</v>
      </c>
      <c r="F159" s="533"/>
      <c r="G159" s="533"/>
      <c r="H159" s="533"/>
      <c r="I159" s="533"/>
      <c r="J159" s="533"/>
      <c r="K159" s="533"/>
      <c r="L159" s="109">
        <f>ROUNDDOWN(20000*80*0.012,0)</f>
        <v>19200</v>
      </c>
      <c r="M159" s="325">
        <f>+L159</f>
        <v>19200</v>
      </c>
      <c r="N159" s="326">
        <v>9600</v>
      </c>
      <c r="O159" s="340">
        <f t="shared" si="4"/>
        <v>9600</v>
      </c>
      <c r="P159" s="327"/>
      <c r="Q159" s="341"/>
    </row>
    <row r="160" spans="1:17" s="113" customFormat="1" ht="24.95" customHeight="1">
      <c r="A160" s="192"/>
      <c r="B160" s="107"/>
      <c r="C160" s="107"/>
      <c r="D160" s="241"/>
      <c r="E160" s="472" t="s">
        <v>1145</v>
      </c>
      <c r="F160" s="473"/>
      <c r="G160" s="473"/>
      <c r="H160" s="473"/>
      <c r="I160" s="473"/>
      <c r="J160" s="474"/>
      <c r="K160" s="474"/>
      <c r="L160" s="109"/>
      <c r="M160" s="325"/>
      <c r="N160" s="326"/>
      <c r="O160" s="340"/>
      <c r="P160" s="327"/>
      <c r="Q160" s="341"/>
    </row>
    <row r="161" spans="1:17" s="113" customFormat="1" ht="24.95" customHeight="1">
      <c r="A161" s="192"/>
      <c r="B161" s="107"/>
      <c r="C161" s="107"/>
      <c r="D161" s="241"/>
      <c r="E161" s="532" t="s">
        <v>1394</v>
      </c>
      <c r="F161" s="533"/>
      <c r="G161" s="533"/>
      <c r="H161" s="533"/>
      <c r="I161" s="533"/>
      <c r="J161" s="533"/>
      <c r="K161" s="533"/>
      <c r="L161" s="109">
        <f>ROUNDDOWN(48000*5*0.002,0)</f>
        <v>480</v>
      </c>
      <c r="M161" s="325">
        <f>+L161</f>
        <v>480</v>
      </c>
      <c r="N161" s="326">
        <v>672</v>
      </c>
      <c r="O161" s="340">
        <f t="shared" si="4"/>
        <v>-192</v>
      </c>
      <c r="P161" s="327"/>
      <c r="Q161" s="341"/>
    </row>
    <row r="162" spans="1:17" s="113" customFormat="1" ht="24.95" customHeight="1">
      <c r="A162" s="192"/>
      <c r="B162" s="107"/>
      <c r="C162" s="107"/>
      <c r="D162" s="241"/>
      <c r="E162" s="138" t="s">
        <v>1395</v>
      </c>
      <c r="F162" s="137"/>
      <c r="G162" s="137"/>
      <c r="H162" s="137"/>
      <c r="I162" s="137"/>
      <c r="J162" s="137"/>
      <c r="K162" s="137"/>
      <c r="L162" s="109"/>
      <c r="M162" s="325"/>
      <c r="N162" s="326"/>
      <c r="O162" s="340"/>
      <c r="P162" s="327"/>
      <c r="Q162" s="341"/>
    </row>
    <row r="163" spans="1:17" s="113" customFormat="1" ht="24.95" customHeight="1">
      <c r="A163" s="192"/>
      <c r="B163" s="107"/>
      <c r="C163" s="107"/>
      <c r="D163" s="241"/>
      <c r="E163" s="532" t="s">
        <v>1396</v>
      </c>
      <c r="F163" s="533"/>
      <c r="G163" s="533"/>
      <c r="H163" s="533"/>
      <c r="I163" s="533"/>
      <c r="J163" s="533"/>
      <c r="K163" s="533"/>
      <c r="L163" s="109">
        <f>ROUNDDOWN(48000*2*2*50%/1000,0)</f>
        <v>96</v>
      </c>
      <c r="M163" s="325">
        <f>+L163</f>
        <v>96</v>
      </c>
      <c r="N163" s="326"/>
      <c r="O163" s="340">
        <f t="shared" si="4"/>
        <v>96</v>
      </c>
      <c r="P163" s="327"/>
      <c r="Q163" s="341"/>
    </row>
    <row r="164" spans="1:17" s="113" customFormat="1" ht="24.95" customHeight="1">
      <c r="A164" s="192"/>
      <c r="B164" s="107"/>
      <c r="C164" s="107"/>
      <c r="D164" s="241"/>
      <c r="E164" s="472" t="s">
        <v>1146</v>
      </c>
      <c r="F164" s="473"/>
      <c r="G164" s="473"/>
      <c r="H164" s="473"/>
      <c r="I164" s="473"/>
      <c r="J164" s="474"/>
      <c r="K164" s="474"/>
      <c r="L164" s="109"/>
      <c r="M164" s="325"/>
      <c r="N164" s="326"/>
      <c r="O164" s="340"/>
      <c r="P164" s="327"/>
      <c r="Q164" s="341"/>
    </row>
    <row r="165" spans="1:17" s="113" customFormat="1" ht="24.95" customHeight="1">
      <c r="A165" s="192"/>
      <c r="B165" s="107"/>
      <c r="C165" s="107"/>
      <c r="D165" s="241"/>
      <c r="E165" s="532" t="s">
        <v>1397</v>
      </c>
      <c r="F165" s="533"/>
      <c r="G165" s="533"/>
      <c r="H165" s="533"/>
      <c r="I165" s="533"/>
      <c r="J165" s="533"/>
      <c r="K165" s="533"/>
      <c r="L165" s="109">
        <f>ROUNDDOWN(90000*2*1*0.006,0)</f>
        <v>1080</v>
      </c>
      <c r="M165" s="325">
        <f>+L165</f>
        <v>1080</v>
      </c>
      <c r="N165" s="326">
        <v>1620</v>
      </c>
      <c r="O165" s="340">
        <f t="shared" si="4"/>
        <v>-540</v>
      </c>
      <c r="P165" s="327"/>
      <c r="Q165" s="341"/>
    </row>
    <row r="166" spans="1:17" s="113" customFormat="1" ht="24.95" customHeight="1">
      <c r="A166" s="192"/>
      <c r="B166" s="107"/>
      <c r="C166" s="107"/>
      <c r="D166" s="241"/>
      <c r="E166" s="472" t="s">
        <v>1398</v>
      </c>
      <c r="F166" s="473"/>
      <c r="G166" s="473"/>
      <c r="H166" s="473"/>
      <c r="I166" s="473"/>
      <c r="J166" s="474"/>
      <c r="K166" s="474"/>
      <c r="L166" s="109"/>
      <c r="M166" s="325"/>
      <c r="N166" s="326"/>
      <c r="O166" s="340"/>
      <c r="P166" s="327"/>
      <c r="Q166" s="341"/>
    </row>
    <row r="167" spans="1:17" s="113" customFormat="1" ht="24.95" customHeight="1">
      <c r="A167" s="192"/>
      <c r="B167" s="107"/>
      <c r="C167" s="107"/>
      <c r="D167" s="241"/>
      <c r="E167" s="532" t="s">
        <v>1399</v>
      </c>
      <c r="F167" s="533"/>
      <c r="G167" s="533"/>
      <c r="H167" s="533"/>
      <c r="I167" s="533"/>
      <c r="J167" s="533"/>
      <c r="K167" s="533"/>
      <c r="L167" s="109">
        <f>ROUNDDOWN(90000*1*1*6*50%/1000,0)</f>
        <v>270</v>
      </c>
      <c r="M167" s="325">
        <f>+L167</f>
        <v>270</v>
      </c>
      <c r="N167" s="326">
        <v>0</v>
      </c>
      <c r="O167" s="340">
        <f t="shared" si="4"/>
        <v>270</v>
      </c>
      <c r="P167" s="327"/>
      <c r="Q167" s="341"/>
    </row>
    <row r="168" spans="1:17" s="113" customFormat="1" ht="24.95" customHeight="1">
      <c r="A168" s="192"/>
      <c r="B168" s="107"/>
      <c r="C168" s="107"/>
      <c r="D168" s="241"/>
      <c r="E168" s="472" t="s">
        <v>1147</v>
      </c>
      <c r="F168" s="473"/>
      <c r="G168" s="473"/>
      <c r="H168" s="473"/>
      <c r="I168" s="473"/>
      <c r="J168" s="474"/>
      <c r="K168" s="474"/>
      <c r="L168" s="109"/>
      <c r="M168" s="325"/>
      <c r="N168" s="326"/>
      <c r="O168" s="340"/>
      <c r="P168" s="327"/>
      <c r="Q168" s="341"/>
    </row>
    <row r="169" spans="1:17" s="113" customFormat="1" ht="24.95" customHeight="1">
      <c r="A169" s="192"/>
      <c r="B169" s="107"/>
      <c r="C169" s="107"/>
      <c r="D169" s="241"/>
      <c r="E169" s="532" t="s">
        <v>1138</v>
      </c>
      <c r="F169" s="533"/>
      <c r="G169" s="533"/>
      <c r="H169" s="533"/>
      <c r="I169" s="533"/>
      <c r="J169" s="533"/>
      <c r="K169" s="533"/>
      <c r="L169" s="109">
        <f>ROUNDDOWN(39000*8*0.012,0)</f>
        <v>3744</v>
      </c>
      <c r="M169" s="325">
        <f>+L169</f>
        <v>3744</v>
      </c>
      <c r="N169" s="326">
        <v>3744</v>
      </c>
      <c r="O169" s="340">
        <f t="shared" si="4"/>
        <v>0</v>
      </c>
      <c r="P169" s="327"/>
      <c r="Q169" s="338" t="s">
        <v>1950</v>
      </c>
    </row>
    <row r="170" spans="1:17" s="113" customFormat="1" ht="24.95" customHeight="1">
      <c r="A170" s="192"/>
      <c r="B170" s="107"/>
      <c r="C170" s="107"/>
      <c r="D170" s="241"/>
      <c r="E170" s="472" t="s">
        <v>1400</v>
      </c>
      <c r="F170" s="473"/>
      <c r="G170" s="473"/>
      <c r="H170" s="473"/>
      <c r="I170" s="473"/>
      <c r="J170" s="474"/>
      <c r="K170" s="474"/>
      <c r="L170" s="109"/>
      <c r="M170" s="325"/>
      <c r="N170" s="326"/>
      <c r="O170" s="340"/>
      <c r="P170" s="327"/>
      <c r="Q170" s="341"/>
    </row>
    <row r="171" spans="1:17" s="113" customFormat="1" ht="24.95" customHeight="1">
      <c r="A171" s="192"/>
      <c r="B171" s="107"/>
      <c r="C171" s="107"/>
      <c r="D171" s="241"/>
      <c r="E171" s="532" t="s">
        <v>1401</v>
      </c>
      <c r="F171" s="533"/>
      <c r="G171" s="533"/>
      <c r="H171" s="533"/>
      <c r="I171" s="533"/>
      <c r="J171" s="533"/>
      <c r="K171" s="533"/>
      <c r="L171" s="109">
        <f>ROUNDDOWN(39000*4*12*50%/1000,0)</f>
        <v>936</v>
      </c>
      <c r="M171" s="325">
        <f>+L171</f>
        <v>936</v>
      </c>
      <c r="N171" s="326"/>
      <c r="O171" s="340">
        <f t="shared" si="4"/>
        <v>936</v>
      </c>
      <c r="P171" s="327"/>
      <c r="Q171" s="341"/>
    </row>
    <row r="172" spans="1:17" s="113" customFormat="1" ht="24.95" customHeight="1">
      <c r="A172" s="192"/>
      <c r="B172" s="107"/>
      <c r="C172" s="107"/>
      <c r="D172" s="241"/>
      <c r="E172" s="470"/>
      <c r="F172" s="471"/>
      <c r="G172" s="471"/>
      <c r="H172" s="471"/>
      <c r="I172" s="471"/>
      <c r="J172" s="471"/>
      <c r="K172" s="108"/>
      <c r="L172" s="109"/>
      <c r="M172" s="325"/>
      <c r="N172" s="326"/>
      <c r="O172" s="340"/>
      <c r="P172" s="327"/>
      <c r="Q172" s="341"/>
    </row>
    <row r="173" spans="1:17" s="113" customFormat="1" ht="24.95" customHeight="1">
      <c r="A173" s="192"/>
      <c r="B173" s="107"/>
      <c r="C173" s="107"/>
      <c r="D173" s="241"/>
      <c r="E173" s="491" t="s">
        <v>1148</v>
      </c>
      <c r="F173" s="492"/>
      <c r="G173" s="492"/>
      <c r="H173" s="492"/>
      <c r="I173" s="492"/>
      <c r="J173" s="492"/>
      <c r="K173" s="108"/>
      <c r="L173" s="249">
        <f>+SUM(L174:L224)</f>
        <v>98818</v>
      </c>
      <c r="M173" s="325"/>
      <c r="N173" s="326"/>
      <c r="O173" s="340"/>
      <c r="P173" s="327"/>
      <c r="Q173" s="341"/>
    </row>
    <row r="174" spans="1:17" s="113" customFormat="1" ht="24.95" customHeight="1">
      <c r="A174" s="192"/>
      <c r="B174" s="107"/>
      <c r="C174" s="107"/>
      <c r="D174" s="241"/>
      <c r="E174" s="472" t="s">
        <v>900</v>
      </c>
      <c r="F174" s="473"/>
      <c r="G174" s="473"/>
      <c r="H174" s="473"/>
      <c r="I174" s="473"/>
      <c r="J174" s="474"/>
      <c r="K174" s="474"/>
      <c r="L174" s="109"/>
      <c r="M174" s="325"/>
      <c r="N174" s="326"/>
      <c r="O174" s="340"/>
      <c r="P174" s="327"/>
      <c r="Q174" s="341"/>
    </row>
    <row r="175" spans="1:17" s="113" customFormat="1" ht="24.95" customHeight="1">
      <c r="A175" s="192"/>
      <c r="B175" s="107"/>
      <c r="C175" s="107"/>
      <c r="D175" s="241"/>
      <c r="E175" s="242"/>
      <c r="F175" s="243"/>
      <c r="G175" s="243"/>
      <c r="H175" s="473" t="s">
        <v>1087</v>
      </c>
      <c r="I175" s="473"/>
      <c r="J175" s="244"/>
      <c r="K175" s="244"/>
      <c r="L175" s="109"/>
      <c r="M175" s="325"/>
      <c r="N175" s="326"/>
      <c r="O175" s="340"/>
      <c r="P175" s="327"/>
      <c r="Q175" s="341"/>
    </row>
    <row r="176" spans="1:17" s="113" customFormat="1" ht="24.95" customHeight="1">
      <c r="A176" s="192"/>
      <c r="B176" s="107"/>
      <c r="C176" s="107"/>
      <c r="D176" s="241"/>
      <c r="E176" s="472"/>
      <c r="F176" s="473"/>
      <c r="G176" s="473"/>
      <c r="H176" s="473"/>
      <c r="I176" s="473"/>
      <c r="J176" s="474" t="s">
        <v>1402</v>
      </c>
      <c r="K176" s="474"/>
      <c r="L176" s="109">
        <f>ROUNDDOWN(3000*35*0.052,0)</f>
        <v>5460</v>
      </c>
      <c r="M176" s="325">
        <f>+L176</f>
        <v>5460</v>
      </c>
      <c r="N176" s="326">
        <v>7800</v>
      </c>
      <c r="O176" s="340">
        <f t="shared" si="4"/>
        <v>-2340</v>
      </c>
      <c r="P176" s="327"/>
      <c r="Q176" s="341"/>
    </row>
    <row r="177" spans="1:17" s="113" customFormat="1" ht="24.95" customHeight="1">
      <c r="A177" s="192"/>
      <c r="B177" s="107"/>
      <c r="C177" s="107"/>
      <c r="D177" s="241"/>
      <c r="E177" s="242"/>
      <c r="F177" s="243"/>
      <c r="G177" s="243"/>
      <c r="H177" s="473" t="s">
        <v>1335</v>
      </c>
      <c r="I177" s="473"/>
      <c r="J177" s="244"/>
      <c r="K177" s="244"/>
      <c r="L177" s="109"/>
      <c r="M177" s="325"/>
      <c r="N177" s="326"/>
      <c r="O177" s="340"/>
      <c r="P177" s="327"/>
      <c r="Q177" s="341"/>
    </row>
    <row r="178" spans="1:17" s="113" customFormat="1" ht="24.95" customHeight="1">
      <c r="A178" s="192"/>
      <c r="B178" s="107"/>
      <c r="C178" s="107"/>
      <c r="D178" s="241"/>
      <c r="E178" s="532" t="s">
        <v>1403</v>
      </c>
      <c r="F178" s="533"/>
      <c r="G178" s="533"/>
      <c r="H178" s="533"/>
      <c r="I178" s="533"/>
      <c r="J178" s="533"/>
      <c r="K178" s="533"/>
      <c r="L178" s="109">
        <f>ROUNDDOWN(3000*20*52*50%/1000,0)</f>
        <v>1560</v>
      </c>
      <c r="M178" s="325">
        <f>+L178</f>
        <v>1560</v>
      </c>
      <c r="N178" s="326">
        <v>0</v>
      </c>
      <c r="O178" s="340">
        <f t="shared" si="4"/>
        <v>1560</v>
      </c>
      <c r="P178" s="327"/>
      <c r="Q178" s="341"/>
    </row>
    <row r="179" spans="1:17" s="113" customFormat="1" ht="24.95" customHeight="1">
      <c r="A179" s="192"/>
      <c r="B179" s="107"/>
      <c r="C179" s="107"/>
      <c r="D179" s="241"/>
      <c r="E179" s="242"/>
      <c r="F179" s="243"/>
      <c r="G179" s="243"/>
      <c r="H179" s="473" t="s">
        <v>902</v>
      </c>
      <c r="I179" s="473"/>
      <c r="J179" s="244"/>
      <c r="K179" s="244"/>
      <c r="L179" s="109"/>
      <c r="M179" s="325"/>
      <c r="N179" s="326"/>
      <c r="O179" s="340"/>
      <c r="P179" s="327"/>
      <c r="Q179" s="341"/>
    </row>
    <row r="180" spans="1:17" s="113" customFormat="1" ht="24.95" customHeight="1">
      <c r="A180" s="192"/>
      <c r="B180" s="107"/>
      <c r="C180" s="107"/>
      <c r="D180" s="241"/>
      <c r="E180" s="472"/>
      <c r="F180" s="473"/>
      <c r="G180" s="473"/>
      <c r="H180" s="473"/>
      <c r="I180" s="473"/>
      <c r="J180" s="474" t="s">
        <v>1149</v>
      </c>
      <c r="K180" s="474"/>
      <c r="L180" s="109">
        <f>ROUNDDOWN(1500*20*0.052,0)</f>
        <v>1560</v>
      </c>
      <c r="M180" s="325">
        <f>+L180</f>
        <v>1560</v>
      </c>
      <c r="N180" s="326">
        <v>1560</v>
      </c>
      <c r="O180" s="340">
        <f t="shared" si="4"/>
        <v>0</v>
      </c>
      <c r="P180" s="327"/>
      <c r="Q180" s="341"/>
    </row>
    <row r="181" spans="1:17" s="113" customFormat="1" ht="24.95" customHeight="1">
      <c r="A181" s="192"/>
      <c r="B181" s="107"/>
      <c r="C181" s="107"/>
      <c r="D181" s="241"/>
      <c r="E181" s="242"/>
      <c r="F181" s="243"/>
      <c r="G181" s="243"/>
      <c r="H181" s="473" t="s">
        <v>1339</v>
      </c>
      <c r="I181" s="473"/>
      <c r="J181" s="244"/>
      <c r="K181" s="244"/>
      <c r="L181" s="109"/>
      <c r="M181" s="325"/>
      <c r="N181" s="326"/>
      <c r="O181" s="340"/>
      <c r="P181" s="327"/>
      <c r="Q181" s="341"/>
    </row>
    <row r="182" spans="1:17" s="113" customFormat="1" ht="24.95" customHeight="1">
      <c r="A182" s="192"/>
      <c r="B182" s="107"/>
      <c r="C182" s="107"/>
      <c r="D182" s="241"/>
      <c r="E182" s="532" t="s">
        <v>1404</v>
      </c>
      <c r="F182" s="533"/>
      <c r="G182" s="533"/>
      <c r="H182" s="533"/>
      <c r="I182" s="533"/>
      <c r="J182" s="533"/>
      <c r="K182" s="533"/>
      <c r="L182" s="109">
        <f>ROUNDDOWN(1500*5*52*50%/1000,0)</f>
        <v>195</v>
      </c>
      <c r="M182" s="325">
        <f>+L182</f>
        <v>195</v>
      </c>
      <c r="N182" s="326">
        <v>0</v>
      </c>
      <c r="O182" s="340">
        <f t="shared" si="4"/>
        <v>195</v>
      </c>
      <c r="P182" s="327"/>
      <c r="Q182" s="341"/>
    </row>
    <row r="183" spans="1:17" s="113" customFormat="1" ht="24.95" customHeight="1">
      <c r="A183" s="192"/>
      <c r="B183" s="107"/>
      <c r="C183" s="107"/>
      <c r="D183" s="241"/>
      <c r="E183" s="472" t="s">
        <v>907</v>
      </c>
      <c r="F183" s="473"/>
      <c r="G183" s="473"/>
      <c r="H183" s="473"/>
      <c r="I183" s="473"/>
      <c r="J183" s="474"/>
      <c r="K183" s="474"/>
      <c r="L183" s="109"/>
      <c r="M183" s="325"/>
      <c r="N183" s="326"/>
      <c r="O183" s="340"/>
      <c r="P183" s="327"/>
      <c r="Q183" s="341"/>
    </row>
    <row r="184" spans="1:17" s="111" customFormat="1" ht="24.95" customHeight="1">
      <c r="A184" s="192"/>
      <c r="B184" s="107"/>
      <c r="C184" s="107"/>
      <c r="D184" s="241"/>
      <c r="E184" s="242"/>
      <c r="F184" s="243"/>
      <c r="G184" s="243"/>
      <c r="H184" s="473" t="s">
        <v>1087</v>
      </c>
      <c r="I184" s="473"/>
      <c r="J184" s="244"/>
      <c r="K184" s="244"/>
      <c r="L184" s="109"/>
      <c r="M184" s="325"/>
      <c r="N184" s="326"/>
      <c r="O184" s="340"/>
      <c r="P184" s="327"/>
      <c r="Q184" s="341"/>
    </row>
    <row r="185" spans="1:17" s="113" customFormat="1" ht="24.95" customHeight="1">
      <c r="A185" s="192"/>
      <c r="B185" s="107"/>
      <c r="C185" s="107"/>
      <c r="D185" s="241"/>
      <c r="E185" s="532" t="s">
        <v>1159</v>
      </c>
      <c r="F185" s="533"/>
      <c r="G185" s="533"/>
      <c r="H185" s="533"/>
      <c r="I185" s="533"/>
      <c r="J185" s="533"/>
      <c r="K185" s="533"/>
      <c r="L185" s="109">
        <f>ROUNDDOWN(39000*15*3*0.012,0)</f>
        <v>21060</v>
      </c>
      <c r="M185" s="325">
        <f>+L185</f>
        <v>21060</v>
      </c>
      <c r="N185" s="326">
        <v>21060</v>
      </c>
      <c r="O185" s="340">
        <f t="shared" si="4"/>
        <v>0</v>
      </c>
      <c r="P185" s="327"/>
      <c r="Q185" s="341"/>
    </row>
    <row r="186" spans="1:17" s="113" customFormat="1" ht="24.95" customHeight="1">
      <c r="A186" s="192"/>
      <c r="B186" s="107"/>
      <c r="C186" s="107"/>
      <c r="D186" s="241"/>
      <c r="E186" s="242"/>
      <c r="F186" s="243"/>
      <c r="G186" s="243"/>
      <c r="H186" s="473" t="s">
        <v>1335</v>
      </c>
      <c r="I186" s="473"/>
      <c r="J186" s="244"/>
      <c r="K186" s="244"/>
      <c r="L186" s="109"/>
      <c r="M186" s="325"/>
      <c r="N186" s="326"/>
      <c r="O186" s="340"/>
      <c r="P186" s="327"/>
      <c r="Q186" s="341"/>
    </row>
    <row r="187" spans="1:17" s="113" customFormat="1" ht="24.95" customHeight="1">
      <c r="A187" s="192"/>
      <c r="B187" s="107"/>
      <c r="C187" s="107"/>
      <c r="D187" s="241"/>
      <c r="E187" s="532" t="s">
        <v>1405</v>
      </c>
      <c r="F187" s="533"/>
      <c r="G187" s="533"/>
      <c r="H187" s="533"/>
      <c r="I187" s="533"/>
      <c r="J187" s="533"/>
      <c r="K187" s="533"/>
      <c r="L187" s="109">
        <f>ROUNDDOWN(39000*6*3*12*50%/1000,0)</f>
        <v>4212</v>
      </c>
      <c r="M187" s="325">
        <f>+L187</f>
        <v>4212</v>
      </c>
      <c r="N187" s="326">
        <v>0</v>
      </c>
      <c r="O187" s="340">
        <f t="shared" si="4"/>
        <v>4212</v>
      </c>
      <c r="P187" s="327"/>
      <c r="Q187" s="341"/>
    </row>
    <row r="188" spans="1:17" s="113" customFormat="1" ht="24.95" customHeight="1">
      <c r="A188" s="192"/>
      <c r="B188" s="107"/>
      <c r="C188" s="107"/>
      <c r="D188" s="241"/>
      <c r="E188" s="242"/>
      <c r="F188" s="243"/>
      <c r="G188" s="243"/>
      <c r="H188" s="473" t="s">
        <v>902</v>
      </c>
      <c r="I188" s="473"/>
      <c r="J188" s="244"/>
      <c r="K188" s="244"/>
      <c r="L188" s="109"/>
      <c r="M188" s="325"/>
      <c r="N188" s="326"/>
      <c r="O188" s="340"/>
      <c r="P188" s="327"/>
      <c r="Q188" s="341"/>
    </row>
    <row r="189" spans="1:17" s="111" customFormat="1" ht="24.95" customHeight="1">
      <c r="A189" s="192"/>
      <c r="B189" s="107"/>
      <c r="C189" s="107"/>
      <c r="D189" s="241"/>
      <c r="E189" s="532" t="s">
        <v>1406</v>
      </c>
      <c r="F189" s="533"/>
      <c r="G189" s="533"/>
      <c r="H189" s="533"/>
      <c r="I189" s="533"/>
      <c r="J189" s="533"/>
      <c r="K189" s="533"/>
      <c r="L189" s="109">
        <f>ROUNDDOWN(26000*3*3*0.012,0)</f>
        <v>2808</v>
      </c>
      <c r="M189" s="325">
        <f>+L189</f>
        <v>2808</v>
      </c>
      <c r="N189" s="326">
        <v>4680</v>
      </c>
      <c r="O189" s="340">
        <f t="shared" si="4"/>
        <v>-1872</v>
      </c>
      <c r="P189" s="327"/>
      <c r="Q189" s="341"/>
    </row>
    <row r="190" spans="1:17" s="113" customFormat="1" ht="24.95" customHeight="1">
      <c r="A190" s="192"/>
      <c r="B190" s="107"/>
      <c r="C190" s="107"/>
      <c r="D190" s="241"/>
      <c r="E190" s="242"/>
      <c r="F190" s="243"/>
      <c r="G190" s="243"/>
      <c r="H190" s="473" t="s">
        <v>1339</v>
      </c>
      <c r="I190" s="473"/>
      <c r="J190" s="244"/>
      <c r="K190" s="244"/>
      <c r="L190" s="109"/>
      <c r="M190" s="325"/>
      <c r="N190" s="326"/>
      <c r="O190" s="340"/>
      <c r="P190" s="327"/>
      <c r="Q190" s="341"/>
    </row>
    <row r="191" spans="1:17" s="113" customFormat="1" ht="24.95" customHeight="1">
      <c r="A191" s="192"/>
      <c r="B191" s="107"/>
      <c r="C191" s="107"/>
      <c r="D191" s="241"/>
      <c r="E191" s="532" t="s">
        <v>1407</v>
      </c>
      <c r="F191" s="533"/>
      <c r="G191" s="533"/>
      <c r="H191" s="533"/>
      <c r="I191" s="533"/>
      <c r="J191" s="533"/>
      <c r="K191" s="533"/>
      <c r="L191" s="109">
        <f>ROUNDDOWN(26000*2*3*12*50%/1000,0)</f>
        <v>936</v>
      </c>
      <c r="M191" s="325">
        <f>+L191</f>
        <v>936</v>
      </c>
      <c r="N191" s="326">
        <v>0</v>
      </c>
      <c r="O191" s="340">
        <f t="shared" si="4"/>
        <v>936</v>
      </c>
      <c r="P191" s="327"/>
      <c r="Q191" s="341"/>
    </row>
    <row r="192" spans="1:17" s="225" customFormat="1" ht="24.95" customHeight="1">
      <c r="A192" s="223"/>
      <c r="B192" s="251"/>
      <c r="C192" s="251"/>
      <c r="D192" s="252"/>
      <c r="E192" s="242"/>
      <c r="F192" s="243"/>
      <c r="G192" s="243"/>
      <c r="H192" s="473" t="s">
        <v>1951</v>
      </c>
      <c r="I192" s="473"/>
      <c r="J192" s="244"/>
      <c r="K192" s="244"/>
      <c r="L192" s="109"/>
      <c r="M192" s="325"/>
      <c r="N192" s="326"/>
      <c r="O192" s="340"/>
      <c r="P192" s="335"/>
      <c r="Q192" s="341"/>
    </row>
    <row r="193" spans="1:17" s="225" customFormat="1" ht="24.95" customHeight="1">
      <c r="A193" s="223"/>
      <c r="B193" s="251"/>
      <c r="C193" s="251"/>
      <c r="D193" s="252"/>
      <c r="E193" s="532"/>
      <c r="F193" s="533"/>
      <c r="G193" s="533"/>
      <c r="H193" s="533"/>
      <c r="I193" s="533"/>
      <c r="J193" s="533"/>
      <c r="K193" s="533"/>
      <c r="L193" s="109"/>
      <c r="M193" s="325"/>
      <c r="N193" s="326">
        <v>300</v>
      </c>
      <c r="O193" s="340">
        <f t="shared" si="4"/>
        <v>-300</v>
      </c>
      <c r="P193" s="327"/>
      <c r="Q193" s="341" t="s">
        <v>1408</v>
      </c>
    </row>
    <row r="194" spans="1:17" ht="24.95" customHeight="1">
      <c r="A194" s="195"/>
      <c r="B194" s="195"/>
      <c r="C194" s="195"/>
      <c r="D194" s="196"/>
      <c r="E194" s="472" t="s">
        <v>1160</v>
      </c>
      <c r="F194" s="473"/>
      <c r="G194" s="473"/>
      <c r="H194" s="473"/>
      <c r="I194" s="473"/>
      <c r="J194" s="474"/>
      <c r="K194" s="474"/>
      <c r="L194" s="109"/>
      <c r="M194" s="325"/>
      <c r="N194" s="326"/>
      <c r="O194" s="340"/>
      <c r="P194" s="327"/>
      <c r="Q194" s="342"/>
    </row>
    <row r="195" spans="1:17" ht="24.95" customHeight="1">
      <c r="A195" s="195"/>
      <c r="B195" s="195"/>
      <c r="C195" s="195"/>
      <c r="D195" s="196"/>
      <c r="E195" s="242"/>
      <c r="F195" s="243"/>
      <c r="G195" s="243"/>
      <c r="H195" s="473" t="s">
        <v>1161</v>
      </c>
      <c r="I195" s="473"/>
      <c r="J195" s="244"/>
      <c r="K195" s="244"/>
      <c r="L195" s="109"/>
      <c r="M195" s="325"/>
      <c r="N195" s="326"/>
      <c r="O195" s="340"/>
      <c r="P195" s="327"/>
      <c r="Q195" s="342"/>
    </row>
    <row r="196" spans="1:17" ht="24.95" customHeight="1">
      <c r="A196" s="195"/>
      <c r="B196" s="195"/>
      <c r="C196" s="195"/>
      <c r="D196" s="196"/>
      <c r="E196" s="532" t="s">
        <v>1409</v>
      </c>
      <c r="F196" s="533"/>
      <c r="G196" s="533"/>
      <c r="H196" s="533"/>
      <c r="I196" s="533"/>
      <c r="J196" s="533"/>
      <c r="K196" s="533"/>
      <c r="L196" s="109">
        <f>ROUNDDOWN(45000*8*5*0.012,0)</f>
        <v>21600</v>
      </c>
      <c r="M196" s="325">
        <f>+L196</f>
        <v>21600</v>
      </c>
      <c r="N196" s="326">
        <v>27000</v>
      </c>
      <c r="O196" s="340">
        <f t="shared" si="4"/>
        <v>-5400</v>
      </c>
      <c r="P196" s="327"/>
      <c r="Q196" s="342"/>
    </row>
    <row r="197" spans="1:17" ht="24.95" customHeight="1">
      <c r="A197" s="195"/>
      <c r="B197" s="195"/>
      <c r="C197" s="195"/>
      <c r="D197" s="196"/>
      <c r="E197" s="242"/>
      <c r="F197" s="243"/>
      <c r="G197" s="243"/>
      <c r="H197" s="473" t="s">
        <v>1335</v>
      </c>
      <c r="I197" s="473"/>
      <c r="J197" s="244"/>
      <c r="K197" s="244"/>
      <c r="L197" s="109"/>
      <c r="M197" s="325"/>
      <c r="N197" s="326"/>
      <c r="O197" s="340"/>
      <c r="P197" s="327"/>
      <c r="Q197" s="342"/>
    </row>
    <row r="198" spans="1:17" ht="24.95" customHeight="1">
      <c r="A198" s="195"/>
      <c r="B198" s="195"/>
      <c r="C198" s="195"/>
      <c r="D198" s="196"/>
      <c r="E198" s="532" t="s">
        <v>1410</v>
      </c>
      <c r="F198" s="533"/>
      <c r="G198" s="533"/>
      <c r="H198" s="533"/>
      <c r="I198" s="533"/>
      <c r="J198" s="533"/>
      <c r="K198" s="533"/>
      <c r="L198" s="109">
        <f>ROUNDDOWN(45000*4*5*12*50%/1000,0)</f>
        <v>5400</v>
      </c>
      <c r="M198" s="325">
        <f>+L198</f>
        <v>5400</v>
      </c>
      <c r="N198" s="326">
        <v>0</v>
      </c>
      <c r="O198" s="340">
        <f t="shared" si="4"/>
        <v>5400</v>
      </c>
      <c r="P198" s="327"/>
      <c r="Q198" s="342"/>
    </row>
    <row r="199" spans="1:17" ht="24.95" customHeight="1">
      <c r="A199" s="195"/>
      <c r="B199" s="195"/>
      <c r="C199" s="195"/>
      <c r="D199" s="196"/>
      <c r="E199" s="472" t="s">
        <v>1411</v>
      </c>
      <c r="F199" s="473"/>
      <c r="G199" s="473"/>
      <c r="H199" s="473"/>
      <c r="I199" s="473"/>
      <c r="J199" s="474"/>
      <c r="K199" s="474"/>
      <c r="L199" s="109"/>
      <c r="M199" s="325"/>
      <c r="N199" s="326"/>
      <c r="O199" s="340"/>
      <c r="P199" s="327"/>
      <c r="Q199" s="342"/>
    </row>
    <row r="200" spans="1:17" ht="24.95" customHeight="1">
      <c r="A200" s="195"/>
      <c r="B200" s="195"/>
      <c r="C200" s="195"/>
      <c r="D200" s="196"/>
      <c r="E200" s="532" t="s">
        <v>1162</v>
      </c>
      <c r="F200" s="533"/>
      <c r="G200" s="533"/>
      <c r="H200" s="533"/>
      <c r="I200" s="533"/>
      <c r="J200" s="533"/>
      <c r="K200" s="533"/>
      <c r="L200" s="109">
        <f>ROUNDDOWN(52000*8*1*0.012,0)</f>
        <v>4992</v>
      </c>
      <c r="M200" s="325">
        <f>+L200</f>
        <v>4992</v>
      </c>
      <c r="N200" s="326">
        <v>4992</v>
      </c>
      <c r="O200" s="340">
        <f t="shared" si="4"/>
        <v>0</v>
      </c>
      <c r="P200" s="327"/>
      <c r="Q200" s="342" t="s">
        <v>1412</v>
      </c>
    </row>
    <row r="201" spans="1:17" ht="24.95" customHeight="1">
      <c r="A201" s="195"/>
      <c r="B201" s="195"/>
      <c r="C201" s="195"/>
      <c r="D201" s="196"/>
      <c r="E201" s="242"/>
      <c r="F201" s="243"/>
      <c r="G201" s="243"/>
      <c r="H201" s="473" t="s">
        <v>1339</v>
      </c>
      <c r="I201" s="473"/>
      <c r="J201" s="244"/>
      <c r="K201" s="244"/>
      <c r="L201" s="109"/>
      <c r="M201" s="325"/>
      <c r="N201" s="326"/>
      <c r="O201" s="340"/>
      <c r="P201" s="327"/>
      <c r="Q201" s="342"/>
    </row>
    <row r="202" spans="1:17" ht="24.95" customHeight="1">
      <c r="A202" s="195"/>
      <c r="B202" s="195"/>
      <c r="C202" s="195"/>
      <c r="D202" s="196"/>
      <c r="E202" s="532" t="s">
        <v>1413</v>
      </c>
      <c r="F202" s="533"/>
      <c r="G202" s="533"/>
      <c r="H202" s="533"/>
      <c r="I202" s="533"/>
      <c r="J202" s="533"/>
      <c r="K202" s="533"/>
      <c r="L202" s="109">
        <f>ROUNDDOWN(52000*4*1*12*50%/1000,0)</f>
        <v>1248</v>
      </c>
      <c r="M202" s="325">
        <f>+L202</f>
        <v>1248</v>
      </c>
      <c r="N202" s="326">
        <v>0</v>
      </c>
      <c r="O202" s="340">
        <f t="shared" si="4"/>
        <v>1248</v>
      </c>
      <c r="P202" s="327"/>
      <c r="Q202" s="342"/>
    </row>
    <row r="203" spans="1:17" s="225" customFormat="1" ht="24.95" hidden="1" customHeight="1">
      <c r="A203" s="226"/>
      <c r="B203" s="195"/>
      <c r="C203" s="195"/>
      <c r="D203" s="196"/>
      <c r="E203" s="472" t="s">
        <v>1952</v>
      </c>
      <c r="F203" s="473"/>
      <c r="G203" s="473"/>
      <c r="H203" s="473"/>
      <c r="I203" s="473"/>
      <c r="J203" s="474"/>
      <c r="K203" s="474"/>
      <c r="L203" s="109"/>
      <c r="M203" s="325"/>
      <c r="N203" s="326"/>
      <c r="O203" s="340"/>
      <c r="P203" s="327"/>
      <c r="Q203" s="342"/>
    </row>
    <row r="204" spans="1:17" s="225" customFormat="1" ht="24.95" hidden="1" customHeight="1">
      <c r="A204" s="226"/>
      <c r="B204" s="195"/>
      <c r="C204" s="195"/>
      <c r="D204" s="196"/>
      <c r="E204" s="242"/>
      <c r="F204" s="243"/>
      <c r="G204" s="243"/>
      <c r="H204" s="473" t="s">
        <v>1953</v>
      </c>
      <c r="I204" s="473"/>
      <c r="J204" s="244"/>
      <c r="K204" s="244"/>
      <c r="L204" s="109"/>
      <c r="M204" s="325"/>
      <c r="N204" s="326"/>
      <c r="O204" s="340"/>
      <c r="P204" s="327"/>
      <c r="Q204" s="342"/>
    </row>
    <row r="205" spans="1:17" s="225" customFormat="1" ht="24.95" hidden="1" customHeight="1">
      <c r="A205" s="226"/>
      <c r="B205" s="195"/>
      <c r="C205" s="195"/>
      <c r="D205" s="196"/>
      <c r="E205" s="532"/>
      <c r="F205" s="533"/>
      <c r="G205" s="533"/>
      <c r="H205" s="533"/>
      <c r="I205" s="533"/>
      <c r="J205" s="533"/>
      <c r="K205" s="533"/>
      <c r="L205" s="109">
        <v>0</v>
      </c>
      <c r="M205" s="325"/>
      <c r="N205" s="326">
        <v>1080</v>
      </c>
      <c r="O205" s="340">
        <f t="shared" si="4"/>
        <v>-1080</v>
      </c>
      <c r="P205" s="327"/>
      <c r="Q205" s="342" t="s">
        <v>1414</v>
      </c>
    </row>
    <row r="206" spans="1:17" s="225" customFormat="1" ht="24.95" hidden="1" customHeight="1">
      <c r="A206" s="226"/>
      <c r="B206" s="195"/>
      <c r="C206" s="195"/>
      <c r="D206" s="196"/>
      <c r="E206" s="242"/>
      <c r="F206" s="243"/>
      <c r="G206" s="243"/>
      <c r="H206" s="473" t="s">
        <v>1133</v>
      </c>
      <c r="I206" s="473"/>
      <c r="J206" s="244"/>
      <c r="K206" s="244"/>
      <c r="L206" s="109"/>
      <c r="M206" s="325"/>
      <c r="N206" s="326"/>
      <c r="O206" s="340"/>
      <c r="P206" s="327"/>
      <c r="Q206" s="342"/>
    </row>
    <row r="207" spans="1:17" s="225" customFormat="1" ht="24.95" hidden="1" customHeight="1">
      <c r="A207" s="226"/>
      <c r="B207" s="195"/>
      <c r="C207" s="195"/>
      <c r="D207" s="196"/>
      <c r="E207" s="532"/>
      <c r="F207" s="533"/>
      <c r="G207" s="533"/>
      <c r="H207" s="533"/>
      <c r="I207" s="533"/>
      <c r="J207" s="533"/>
      <c r="K207" s="533"/>
      <c r="L207" s="109">
        <v>0</v>
      </c>
      <c r="M207" s="325"/>
      <c r="N207" s="326">
        <v>720</v>
      </c>
      <c r="O207" s="340">
        <f t="shared" si="4"/>
        <v>-720</v>
      </c>
      <c r="P207" s="327"/>
      <c r="Q207" s="342" t="s">
        <v>1415</v>
      </c>
    </row>
    <row r="208" spans="1:17" ht="24.95" customHeight="1">
      <c r="A208" s="195"/>
      <c r="B208" s="195"/>
      <c r="C208" s="195"/>
      <c r="D208" s="196"/>
      <c r="E208" s="472" t="s">
        <v>1416</v>
      </c>
      <c r="F208" s="473"/>
      <c r="G208" s="473"/>
      <c r="H208" s="473"/>
      <c r="I208" s="473"/>
      <c r="J208" s="474"/>
      <c r="K208" s="474"/>
      <c r="L208" s="109"/>
      <c r="M208" s="325"/>
      <c r="N208" s="326"/>
      <c r="O208" s="340"/>
      <c r="P208" s="327"/>
      <c r="Q208" s="342"/>
    </row>
    <row r="209" spans="1:17" ht="24.95" customHeight="1">
      <c r="A209" s="195"/>
      <c r="B209" s="195"/>
      <c r="C209" s="195"/>
      <c r="D209" s="196"/>
      <c r="E209" s="242"/>
      <c r="F209" s="243"/>
      <c r="G209" s="243"/>
      <c r="H209" s="473" t="s">
        <v>1954</v>
      </c>
      <c r="I209" s="473"/>
      <c r="J209" s="244"/>
      <c r="K209" s="244"/>
      <c r="L209" s="109"/>
      <c r="M209" s="325"/>
      <c r="N209" s="326"/>
      <c r="O209" s="340"/>
      <c r="P209" s="327"/>
      <c r="Q209" s="342"/>
    </row>
    <row r="210" spans="1:17" ht="24.95" customHeight="1">
      <c r="A210" s="195"/>
      <c r="B210" s="195"/>
      <c r="C210" s="195"/>
      <c r="D210" s="196"/>
      <c r="E210" s="532" t="s">
        <v>1955</v>
      </c>
      <c r="F210" s="533"/>
      <c r="G210" s="533"/>
      <c r="H210" s="533"/>
      <c r="I210" s="533"/>
      <c r="J210" s="533"/>
      <c r="K210" s="533"/>
      <c r="L210" s="109">
        <f>ROUNDDOWN(50000*10*0.009,0)</f>
        <v>4500</v>
      </c>
      <c r="M210" s="325">
        <f>+L210</f>
        <v>4500</v>
      </c>
      <c r="N210" s="326">
        <v>0</v>
      </c>
      <c r="O210" s="340">
        <f t="shared" si="4"/>
        <v>4500</v>
      </c>
      <c r="P210" s="327"/>
      <c r="Q210" s="342" t="s">
        <v>1417</v>
      </c>
    </row>
    <row r="211" spans="1:17" ht="24.95" customHeight="1">
      <c r="A211" s="195"/>
      <c r="B211" s="195"/>
      <c r="C211" s="195"/>
      <c r="D211" s="196"/>
      <c r="E211" s="242"/>
      <c r="F211" s="243"/>
      <c r="G211" s="243"/>
      <c r="H211" s="473" t="s">
        <v>1956</v>
      </c>
      <c r="I211" s="473"/>
      <c r="J211" s="244"/>
      <c r="K211" s="244"/>
      <c r="L211" s="109"/>
      <c r="M211" s="325"/>
      <c r="N211" s="326"/>
      <c r="O211" s="340"/>
      <c r="P211" s="327"/>
      <c r="Q211" s="342"/>
    </row>
    <row r="212" spans="1:17" ht="24.95" customHeight="1">
      <c r="A212" s="195"/>
      <c r="B212" s="195"/>
      <c r="C212" s="195"/>
      <c r="D212" s="196"/>
      <c r="E212" s="532" t="s">
        <v>1957</v>
      </c>
      <c r="F212" s="533"/>
      <c r="G212" s="533"/>
      <c r="H212" s="533"/>
      <c r="I212" s="533"/>
      <c r="J212" s="533"/>
      <c r="K212" s="533"/>
      <c r="L212" s="109">
        <f>ROUNDDOWN(50000*5*9*50%/1000,0)</f>
        <v>1125</v>
      </c>
      <c r="M212" s="325">
        <f>+L212</f>
        <v>1125</v>
      </c>
      <c r="N212" s="326">
        <v>0</v>
      </c>
      <c r="O212" s="340">
        <f t="shared" ref="O212" si="5">+M212-N212</f>
        <v>1125</v>
      </c>
      <c r="P212" s="327"/>
      <c r="Q212" s="342" t="s">
        <v>1417</v>
      </c>
    </row>
    <row r="213" spans="1:17" ht="24.95" customHeight="1">
      <c r="A213" s="195"/>
      <c r="B213" s="195"/>
      <c r="C213" s="195"/>
      <c r="D213" s="196"/>
      <c r="E213" s="242"/>
      <c r="F213" s="243"/>
      <c r="G213" s="243"/>
      <c r="H213" s="473" t="s">
        <v>1958</v>
      </c>
      <c r="I213" s="473"/>
      <c r="J213" s="244"/>
      <c r="K213" s="244"/>
      <c r="L213" s="109"/>
      <c r="M213" s="325"/>
      <c r="N213" s="326"/>
      <c r="O213" s="340"/>
      <c r="P213" s="327"/>
      <c r="Q213" s="342"/>
    </row>
    <row r="214" spans="1:17" ht="24.95" customHeight="1">
      <c r="A214" s="195"/>
      <c r="B214" s="195"/>
      <c r="C214" s="195"/>
      <c r="D214" s="196"/>
      <c r="E214" s="532" t="s">
        <v>1959</v>
      </c>
      <c r="F214" s="533"/>
      <c r="G214" s="533"/>
      <c r="H214" s="533"/>
      <c r="I214" s="533"/>
      <c r="J214" s="533"/>
      <c r="K214" s="533"/>
      <c r="L214" s="109">
        <f>ROUNDDOWN(47000*10*0.009,0)</f>
        <v>4230</v>
      </c>
      <c r="M214" s="325">
        <f>+L214</f>
        <v>4230</v>
      </c>
      <c r="N214" s="326">
        <v>0</v>
      </c>
      <c r="O214" s="340">
        <f t="shared" ref="O214" si="6">+M214-N214</f>
        <v>4230</v>
      </c>
      <c r="P214" s="327"/>
      <c r="Q214" s="342" t="s">
        <v>1417</v>
      </c>
    </row>
    <row r="215" spans="1:17" ht="24.95" customHeight="1">
      <c r="A215" s="195"/>
      <c r="B215" s="195"/>
      <c r="C215" s="195"/>
      <c r="D215" s="196"/>
      <c r="E215" s="242"/>
      <c r="F215" s="243"/>
      <c r="G215" s="243"/>
      <c r="H215" s="473" t="s">
        <v>1960</v>
      </c>
      <c r="I215" s="473"/>
      <c r="J215" s="244"/>
      <c r="K215" s="244"/>
      <c r="L215" s="109"/>
      <c r="M215" s="325"/>
      <c r="N215" s="326"/>
      <c r="O215" s="340"/>
      <c r="P215" s="327"/>
      <c r="Q215" s="342"/>
    </row>
    <row r="216" spans="1:17" ht="24.95" customHeight="1">
      <c r="A216" s="195"/>
      <c r="B216" s="195"/>
      <c r="C216" s="195"/>
      <c r="D216" s="196"/>
      <c r="E216" s="532" t="s">
        <v>1961</v>
      </c>
      <c r="F216" s="533"/>
      <c r="G216" s="533"/>
      <c r="H216" s="533"/>
      <c r="I216" s="533"/>
      <c r="J216" s="533"/>
      <c r="K216" s="533"/>
      <c r="L216" s="109">
        <f>ROUNDDOWN(47000*5*9*50%/1000,0)</f>
        <v>1057</v>
      </c>
      <c r="M216" s="325">
        <f>+L216</f>
        <v>1057</v>
      </c>
      <c r="N216" s="326">
        <v>0</v>
      </c>
      <c r="O216" s="340">
        <f t="shared" si="4"/>
        <v>1057</v>
      </c>
      <c r="P216" s="327"/>
      <c r="Q216" s="342" t="s">
        <v>1417</v>
      </c>
    </row>
    <row r="217" spans="1:17" ht="24.95" customHeight="1">
      <c r="A217" s="195"/>
      <c r="B217" s="195"/>
      <c r="C217" s="195"/>
      <c r="D217" s="196"/>
      <c r="E217" s="242"/>
      <c r="F217" s="243"/>
      <c r="G217" s="243"/>
      <c r="H217" s="473" t="s">
        <v>1418</v>
      </c>
      <c r="I217" s="473"/>
      <c r="J217" s="244"/>
      <c r="K217" s="244"/>
      <c r="L217" s="109"/>
      <c r="M217" s="325"/>
      <c r="N217" s="326"/>
      <c r="O217" s="340"/>
      <c r="P217" s="327"/>
      <c r="Q217" s="342"/>
    </row>
    <row r="218" spans="1:17" ht="24.95" customHeight="1">
      <c r="A218" s="195"/>
      <c r="B218" s="195"/>
      <c r="C218" s="195"/>
      <c r="D218" s="196"/>
      <c r="E218" s="532" t="s">
        <v>1419</v>
      </c>
      <c r="F218" s="533"/>
      <c r="G218" s="533"/>
      <c r="H218" s="533"/>
      <c r="I218" s="533"/>
      <c r="J218" s="533"/>
      <c r="K218" s="533"/>
      <c r="L218" s="109">
        <f>ROUNDDOWN(45000*10*2*0.009,0)</f>
        <v>8100</v>
      </c>
      <c r="M218" s="325">
        <f>+L218</f>
        <v>8100</v>
      </c>
      <c r="N218" s="326">
        <v>0</v>
      </c>
      <c r="O218" s="340">
        <f t="shared" ref="O218" si="7">+M218-N218</f>
        <v>8100</v>
      </c>
      <c r="P218" s="327"/>
      <c r="Q218" s="342" t="s">
        <v>1417</v>
      </c>
    </row>
    <row r="219" spans="1:17" ht="24.95" customHeight="1">
      <c r="A219" s="195"/>
      <c r="B219" s="195"/>
      <c r="C219" s="195"/>
      <c r="D219" s="196"/>
      <c r="E219" s="242"/>
      <c r="F219" s="243"/>
      <c r="G219" s="243"/>
      <c r="H219" s="473" t="s">
        <v>1420</v>
      </c>
      <c r="I219" s="473"/>
      <c r="J219" s="521"/>
      <c r="K219" s="244"/>
      <c r="L219" s="109"/>
      <c r="M219" s="325"/>
      <c r="N219" s="326"/>
      <c r="O219" s="340"/>
      <c r="P219" s="327"/>
      <c r="Q219" s="342"/>
    </row>
    <row r="220" spans="1:17" ht="24.95" customHeight="1">
      <c r="A220" s="195"/>
      <c r="B220" s="195"/>
      <c r="C220" s="195"/>
      <c r="D220" s="196"/>
      <c r="E220" s="532" t="s">
        <v>1421</v>
      </c>
      <c r="F220" s="533"/>
      <c r="G220" s="533"/>
      <c r="H220" s="533"/>
      <c r="I220" s="533"/>
      <c r="J220" s="533"/>
      <c r="K220" s="533"/>
      <c r="L220" s="109">
        <f>ROUNDDOWN(45000*5*2*9*50%/1000,0)</f>
        <v>2025</v>
      </c>
      <c r="M220" s="325">
        <f>+L220</f>
        <v>2025</v>
      </c>
      <c r="N220" s="326">
        <v>0</v>
      </c>
      <c r="O220" s="340">
        <f t="shared" ref="O220:O222" si="8">+M220-N220</f>
        <v>2025</v>
      </c>
      <c r="P220" s="327"/>
      <c r="Q220" s="342" t="s">
        <v>1417</v>
      </c>
    </row>
    <row r="221" spans="1:17" ht="24.95" customHeight="1">
      <c r="A221" s="195"/>
      <c r="B221" s="195"/>
      <c r="C221" s="195"/>
      <c r="D221" s="196"/>
      <c r="E221" s="242"/>
      <c r="F221" s="243"/>
      <c r="G221" s="243"/>
      <c r="H221" s="473" t="s">
        <v>1422</v>
      </c>
      <c r="I221" s="473"/>
      <c r="J221" s="244"/>
      <c r="K221" s="244"/>
      <c r="L221" s="109"/>
      <c r="M221" s="325"/>
      <c r="N221" s="326"/>
      <c r="O221" s="340"/>
      <c r="P221" s="327"/>
      <c r="Q221" s="342"/>
    </row>
    <row r="222" spans="1:17" ht="24.95" customHeight="1">
      <c r="A222" s="195"/>
      <c r="B222" s="195"/>
      <c r="C222" s="195"/>
      <c r="D222" s="196"/>
      <c r="E222" s="532" t="s">
        <v>1423</v>
      </c>
      <c r="F222" s="533"/>
      <c r="G222" s="533"/>
      <c r="H222" s="533"/>
      <c r="I222" s="533"/>
      <c r="J222" s="533"/>
      <c r="K222" s="533"/>
      <c r="L222" s="109">
        <f>ROUNDDOWN(30000*10*2*0.009,0)</f>
        <v>5400</v>
      </c>
      <c r="M222" s="325">
        <f>+L222</f>
        <v>5400</v>
      </c>
      <c r="N222" s="326">
        <v>0</v>
      </c>
      <c r="O222" s="340">
        <f t="shared" si="8"/>
        <v>5400</v>
      </c>
      <c r="P222" s="327"/>
      <c r="Q222" s="342" t="s">
        <v>1417</v>
      </c>
    </row>
    <row r="223" spans="1:17" ht="24.95" customHeight="1">
      <c r="A223" s="195"/>
      <c r="B223" s="195"/>
      <c r="C223" s="195"/>
      <c r="D223" s="196"/>
      <c r="E223" s="242"/>
      <c r="F223" s="243"/>
      <c r="G223" s="243"/>
      <c r="H223" s="473" t="s">
        <v>1424</v>
      </c>
      <c r="I223" s="473"/>
      <c r="J223" s="244"/>
      <c r="K223" s="244"/>
      <c r="L223" s="109"/>
      <c r="M223" s="325"/>
      <c r="N223" s="326"/>
      <c r="O223" s="340"/>
      <c r="P223" s="327"/>
      <c r="Q223" s="342"/>
    </row>
    <row r="224" spans="1:17" ht="24.95" customHeight="1">
      <c r="A224" s="195"/>
      <c r="B224" s="195"/>
      <c r="C224" s="195"/>
      <c r="D224" s="196"/>
      <c r="E224" s="532" t="s">
        <v>1425</v>
      </c>
      <c r="F224" s="533"/>
      <c r="G224" s="533"/>
      <c r="H224" s="533"/>
      <c r="I224" s="533"/>
      <c r="J224" s="533"/>
      <c r="K224" s="533"/>
      <c r="L224" s="109">
        <f>ROUNDDOWN(30000*5*2*9*50%/1000,0)</f>
        <v>1350</v>
      </c>
      <c r="M224" s="325">
        <f>+L224</f>
        <v>1350</v>
      </c>
      <c r="N224" s="326">
        <v>0</v>
      </c>
      <c r="O224" s="340">
        <f t="shared" ref="O224" si="9">+M224-N224</f>
        <v>1350</v>
      </c>
      <c r="P224" s="327"/>
      <c r="Q224" s="342" t="s">
        <v>1417</v>
      </c>
    </row>
    <row r="225" spans="1:17" ht="24.95" customHeight="1">
      <c r="A225" s="195"/>
      <c r="B225" s="195"/>
      <c r="C225" s="195"/>
      <c r="D225" s="196"/>
      <c r="E225" s="491" t="s">
        <v>1163</v>
      </c>
      <c r="F225" s="492"/>
      <c r="G225" s="492"/>
      <c r="H225" s="492"/>
      <c r="I225" s="492"/>
      <c r="J225" s="492"/>
      <c r="K225" s="108"/>
      <c r="L225" s="249">
        <f>+SUM(L226:L301)</f>
        <v>75079</v>
      </c>
      <c r="M225" s="325"/>
      <c r="N225" s="326"/>
      <c r="O225" s="340"/>
      <c r="P225" s="327"/>
      <c r="Q225" s="342"/>
    </row>
    <row r="226" spans="1:17" ht="24.95" customHeight="1">
      <c r="A226" s="195"/>
      <c r="B226" s="195"/>
      <c r="C226" s="195"/>
      <c r="D226" s="196"/>
      <c r="E226" s="472" t="s">
        <v>1048</v>
      </c>
      <c r="F226" s="473"/>
      <c r="G226" s="473"/>
      <c r="H226" s="473"/>
      <c r="I226" s="473"/>
      <c r="J226" s="474"/>
      <c r="K226" s="474"/>
      <c r="L226" s="109"/>
      <c r="M226" s="325"/>
      <c r="N226" s="326"/>
      <c r="O226" s="340"/>
      <c r="P226" s="327"/>
      <c r="Q226" s="342"/>
    </row>
    <row r="227" spans="1:17" ht="24.95" customHeight="1">
      <c r="A227" s="195"/>
      <c r="B227" s="195"/>
      <c r="C227" s="195"/>
      <c r="D227" s="196"/>
      <c r="E227" s="242"/>
      <c r="F227" s="243"/>
      <c r="G227" s="243"/>
      <c r="H227" s="473" t="s">
        <v>994</v>
      </c>
      <c r="I227" s="473"/>
      <c r="J227" s="244"/>
      <c r="K227" s="244"/>
      <c r="L227" s="109"/>
      <c r="M227" s="325"/>
      <c r="N227" s="326"/>
      <c r="O227" s="340"/>
      <c r="P227" s="327"/>
      <c r="Q227" s="342"/>
    </row>
    <row r="228" spans="1:17" ht="24.95" customHeight="1">
      <c r="A228" s="195"/>
      <c r="B228" s="195"/>
      <c r="C228" s="195"/>
      <c r="D228" s="196"/>
      <c r="E228" s="472"/>
      <c r="F228" s="473"/>
      <c r="G228" s="473"/>
      <c r="H228" s="473"/>
      <c r="I228" s="473"/>
      <c r="J228" s="474" t="s">
        <v>1426</v>
      </c>
      <c r="K228" s="474"/>
      <c r="L228" s="109">
        <f>ROUNDDOWN(2500*15*0.012,0)</f>
        <v>450</v>
      </c>
      <c r="M228" s="325">
        <f>+L228</f>
        <v>450</v>
      </c>
      <c r="N228" s="326">
        <v>480</v>
      </c>
      <c r="O228" s="340">
        <f t="shared" ref="O228:O285" si="10">+M228-N228</f>
        <v>-30</v>
      </c>
      <c r="P228" s="327"/>
      <c r="Q228" s="343" t="s">
        <v>1962</v>
      </c>
    </row>
    <row r="229" spans="1:17" ht="24.95" customHeight="1">
      <c r="A229" s="195"/>
      <c r="B229" s="195"/>
      <c r="C229" s="195"/>
      <c r="D229" s="196"/>
      <c r="E229" s="242"/>
      <c r="F229" s="243"/>
      <c r="G229" s="243"/>
      <c r="H229" s="473" t="s">
        <v>1427</v>
      </c>
      <c r="I229" s="473"/>
      <c r="J229" s="244"/>
      <c r="K229" s="244"/>
      <c r="L229" s="109"/>
      <c r="M229" s="325"/>
      <c r="N229" s="326"/>
      <c r="O229" s="340"/>
      <c r="P229" s="327"/>
      <c r="Q229" s="342" t="s">
        <v>1963</v>
      </c>
    </row>
    <row r="230" spans="1:17" ht="24.95" customHeight="1">
      <c r="A230" s="195"/>
      <c r="B230" s="195"/>
      <c r="C230" s="195"/>
      <c r="D230" s="196"/>
      <c r="E230" s="532" t="s">
        <v>1428</v>
      </c>
      <c r="F230" s="533"/>
      <c r="G230" s="533"/>
      <c r="H230" s="533"/>
      <c r="I230" s="533"/>
      <c r="J230" s="533"/>
      <c r="K230" s="533"/>
      <c r="L230" s="109">
        <f>ROUNDDOWN(2500*10*12*50%/1000,0)</f>
        <v>150</v>
      </c>
      <c r="M230" s="325">
        <f>+L230</f>
        <v>150</v>
      </c>
      <c r="N230" s="326">
        <v>0</v>
      </c>
      <c r="O230" s="340">
        <f t="shared" si="10"/>
        <v>150</v>
      </c>
      <c r="P230" s="327"/>
      <c r="Q230" s="342"/>
    </row>
    <row r="231" spans="1:17" ht="24.95" customHeight="1">
      <c r="A231" s="195"/>
      <c r="B231" s="195"/>
      <c r="C231" s="195"/>
      <c r="D231" s="196"/>
      <c r="E231" s="472" t="s">
        <v>907</v>
      </c>
      <c r="F231" s="473"/>
      <c r="G231" s="473"/>
      <c r="H231" s="473"/>
      <c r="I231" s="473"/>
      <c r="J231" s="474"/>
      <c r="K231" s="474"/>
      <c r="L231" s="109"/>
      <c r="M231" s="325"/>
      <c r="N231" s="326"/>
      <c r="O231" s="340"/>
      <c r="P231" s="327"/>
      <c r="Q231" s="342"/>
    </row>
    <row r="232" spans="1:17" ht="24.95" customHeight="1">
      <c r="A232" s="195"/>
      <c r="B232" s="195"/>
      <c r="C232" s="195"/>
      <c r="D232" s="196"/>
      <c r="E232" s="242"/>
      <c r="F232" s="243"/>
      <c r="G232" s="243"/>
      <c r="H232" s="473" t="s">
        <v>1087</v>
      </c>
      <c r="I232" s="473"/>
      <c r="J232" s="244"/>
      <c r="K232" s="244"/>
      <c r="L232" s="109"/>
      <c r="M232" s="325"/>
      <c r="N232" s="326"/>
      <c r="O232" s="340"/>
      <c r="P232" s="327"/>
      <c r="Q232" s="342"/>
    </row>
    <row r="233" spans="1:17" ht="24.95" customHeight="1">
      <c r="A233" s="195"/>
      <c r="B233" s="195"/>
      <c r="C233" s="195"/>
      <c r="D233" s="196"/>
      <c r="E233" s="472"/>
      <c r="F233" s="473"/>
      <c r="G233" s="473"/>
      <c r="H233" s="473"/>
      <c r="I233" s="473"/>
      <c r="J233" s="474" t="s">
        <v>1429</v>
      </c>
      <c r="K233" s="474"/>
      <c r="L233" s="109">
        <f>ROUNDDOWN(57200*11*0.012,0)</f>
        <v>7550</v>
      </c>
      <c r="M233" s="325">
        <f>+L233</f>
        <v>7550</v>
      </c>
      <c r="N233" s="326">
        <v>13728</v>
      </c>
      <c r="O233" s="340">
        <f t="shared" si="10"/>
        <v>-6178</v>
      </c>
      <c r="P233" s="327"/>
      <c r="Q233" s="343" t="s">
        <v>1964</v>
      </c>
    </row>
    <row r="234" spans="1:17" ht="24.95" customHeight="1">
      <c r="A234" s="195"/>
      <c r="B234" s="195"/>
      <c r="C234" s="195"/>
      <c r="D234" s="196"/>
      <c r="E234" s="242"/>
      <c r="F234" s="243"/>
      <c r="G234" s="243"/>
      <c r="H234" s="473" t="s">
        <v>1335</v>
      </c>
      <c r="I234" s="473"/>
      <c r="J234" s="244"/>
      <c r="K234" s="244"/>
      <c r="L234" s="109"/>
      <c r="M234" s="325"/>
      <c r="N234" s="326"/>
      <c r="O234" s="340"/>
      <c r="P234" s="327"/>
      <c r="Q234" s="342"/>
    </row>
    <row r="235" spans="1:17" ht="24.95" customHeight="1">
      <c r="A235" s="195"/>
      <c r="B235" s="195"/>
      <c r="C235" s="195"/>
      <c r="D235" s="196"/>
      <c r="E235" s="532" t="s">
        <v>1430</v>
      </c>
      <c r="F235" s="533"/>
      <c r="G235" s="533"/>
      <c r="H235" s="533"/>
      <c r="I235" s="533"/>
      <c r="J235" s="533"/>
      <c r="K235" s="533"/>
      <c r="L235" s="109">
        <f>ROUNDDOWN(57200*10*12*50%/1000,0)</f>
        <v>3432</v>
      </c>
      <c r="M235" s="325">
        <f>+L235</f>
        <v>3432</v>
      </c>
      <c r="N235" s="326">
        <v>0</v>
      </c>
      <c r="O235" s="340">
        <f t="shared" si="10"/>
        <v>3432</v>
      </c>
      <c r="P235" s="327"/>
      <c r="Q235" s="342"/>
    </row>
    <row r="236" spans="1:17" ht="24.95" customHeight="1">
      <c r="A236" s="195"/>
      <c r="B236" s="195"/>
      <c r="C236" s="195"/>
      <c r="D236" s="196"/>
      <c r="E236" s="242"/>
      <c r="F236" s="243"/>
      <c r="G236" s="243"/>
      <c r="H236" s="473" t="s">
        <v>902</v>
      </c>
      <c r="I236" s="473"/>
      <c r="J236" s="244"/>
      <c r="K236" s="244"/>
      <c r="L236" s="109"/>
      <c r="M236" s="325"/>
      <c r="N236" s="326"/>
      <c r="O236" s="340"/>
      <c r="P236" s="327"/>
      <c r="Q236" s="342"/>
    </row>
    <row r="237" spans="1:17" ht="24.95" customHeight="1">
      <c r="A237" s="195"/>
      <c r="B237" s="195"/>
      <c r="C237" s="195"/>
      <c r="D237" s="196"/>
      <c r="E237" s="472"/>
      <c r="F237" s="473"/>
      <c r="G237" s="473"/>
      <c r="H237" s="473"/>
      <c r="I237" s="473"/>
      <c r="J237" s="474" t="s">
        <v>1164</v>
      </c>
      <c r="K237" s="474"/>
      <c r="L237" s="109">
        <f>ROUNDDOWN(41600*1*0.012,0)</f>
        <v>499</v>
      </c>
      <c r="M237" s="325">
        <f>+L237</f>
        <v>499</v>
      </c>
      <c r="N237" s="326">
        <v>499</v>
      </c>
      <c r="O237" s="340">
        <f t="shared" si="10"/>
        <v>0</v>
      </c>
      <c r="P237" s="327"/>
      <c r="Q237" s="342"/>
    </row>
    <row r="238" spans="1:17" ht="24.95" customHeight="1">
      <c r="A238" s="195"/>
      <c r="B238" s="195"/>
      <c r="C238" s="195"/>
      <c r="D238" s="196"/>
      <c r="E238" s="242"/>
      <c r="F238" s="243"/>
      <c r="G238" s="243"/>
      <c r="H238" s="473" t="s">
        <v>1339</v>
      </c>
      <c r="I238" s="473"/>
      <c r="J238" s="244"/>
      <c r="K238" s="244"/>
      <c r="L238" s="109"/>
      <c r="M238" s="325"/>
      <c r="N238" s="326"/>
      <c r="O238" s="340"/>
      <c r="P238" s="327"/>
      <c r="Q238" s="342"/>
    </row>
    <row r="239" spans="1:17" ht="24.95" customHeight="1">
      <c r="A239" s="195"/>
      <c r="B239" s="195"/>
      <c r="C239" s="195"/>
      <c r="D239" s="196"/>
      <c r="E239" s="532" t="s">
        <v>1431</v>
      </c>
      <c r="F239" s="533"/>
      <c r="G239" s="533"/>
      <c r="H239" s="533"/>
      <c r="I239" s="533"/>
      <c r="J239" s="533"/>
      <c r="K239" s="533"/>
      <c r="L239" s="109">
        <f>ROUNDDOWN(41600*1*12*50%/1000,0)</f>
        <v>249</v>
      </c>
      <c r="M239" s="325">
        <f>+L239</f>
        <v>249</v>
      </c>
      <c r="N239" s="326">
        <v>0</v>
      </c>
      <c r="O239" s="340">
        <f t="shared" si="10"/>
        <v>249</v>
      </c>
      <c r="P239" s="327"/>
      <c r="Q239" s="342"/>
    </row>
    <row r="240" spans="1:17" ht="24.95" customHeight="1">
      <c r="A240" s="195"/>
      <c r="B240" s="195"/>
      <c r="C240" s="195"/>
      <c r="D240" s="196"/>
      <c r="E240" s="242"/>
      <c r="F240" s="243"/>
      <c r="G240" s="243"/>
      <c r="H240" s="473" t="s">
        <v>1965</v>
      </c>
      <c r="I240" s="473"/>
      <c r="J240" s="244"/>
      <c r="K240" s="244"/>
      <c r="L240" s="109"/>
      <c r="M240" s="325"/>
      <c r="N240" s="326"/>
      <c r="O240" s="340"/>
      <c r="P240" s="327"/>
      <c r="Q240" s="342"/>
    </row>
    <row r="241" spans="1:17" ht="24.95" customHeight="1">
      <c r="A241" s="195"/>
      <c r="B241" s="195"/>
      <c r="C241" s="195"/>
      <c r="D241" s="196"/>
      <c r="E241" s="472"/>
      <c r="F241" s="473"/>
      <c r="G241" s="473"/>
      <c r="H241" s="473"/>
      <c r="I241" s="473"/>
      <c r="J241" s="474" t="s">
        <v>1432</v>
      </c>
      <c r="K241" s="474"/>
      <c r="L241" s="109">
        <f>ROUNDDOWN(35000*5*0.012,0)</f>
        <v>2100</v>
      </c>
      <c r="M241" s="325">
        <f>+L241</f>
        <v>2100</v>
      </c>
      <c r="N241" s="326">
        <v>1800</v>
      </c>
      <c r="O241" s="340">
        <f t="shared" si="10"/>
        <v>300</v>
      </c>
      <c r="P241" s="327"/>
      <c r="Q241" s="342" t="s">
        <v>1433</v>
      </c>
    </row>
    <row r="242" spans="1:17" ht="24.95" customHeight="1">
      <c r="A242" s="195"/>
      <c r="B242" s="195"/>
      <c r="C242" s="195"/>
      <c r="D242" s="196"/>
      <c r="E242" s="242"/>
      <c r="F242" s="243"/>
      <c r="G242" s="243"/>
      <c r="H242" s="473" t="s">
        <v>1434</v>
      </c>
      <c r="I242" s="473"/>
      <c r="J242" s="534"/>
      <c r="K242" s="244"/>
      <c r="L242" s="109"/>
      <c r="M242" s="325"/>
      <c r="N242" s="326"/>
      <c r="O242" s="340"/>
      <c r="P242" s="327"/>
      <c r="Q242" s="342"/>
    </row>
    <row r="243" spans="1:17" ht="24.95" customHeight="1">
      <c r="A243" s="195"/>
      <c r="B243" s="195"/>
      <c r="C243" s="195"/>
      <c r="D243" s="196"/>
      <c r="E243" s="532" t="s">
        <v>1435</v>
      </c>
      <c r="F243" s="533"/>
      <c r="G243" s="533"/>
      <c r="H243" s="533"/>
      <c r="I243" s="533"/>
      <c r="J243" s="533"/>
      <c r="K243" s="533"/>
      <c r="L243" s="109">
        <f>ROUNDDOWN(35000*2*12*50%/1000,0)</f>
        <v>420</v>
      </c>
      <c r="M243" s="325">
        <f>+L243</f>
        <v>420</v>
      </c>
      <c r="N243" s="326">
        <v>0</v>
      </c>
      <c r="O243" s="340">
        <f t="shared" si="10"/>
        <v>420</v>
      </c>
      <c r="P243" s="327"/>
      <c r="Q243" s="342"/>
    </row>
    <row r="244" spans="1:17" ht="24.95" customHeight="1">
      <c r="A244" s="195"/>
      <c r="B244" s="195"/>
      <c r="C244" s="195"/>
      <c r="D244" s="196"/>
      <c r="E244" s="242"/>
      <c r="F244" s="243"/>
      <c r="G244" s="243"/>
      <c r="H244" s="473" t="s">
        <v>1436</v>
      </c>
      <c r="I244" s="473"/>
      <c r="J244" s="244"/>
      <c r="K244" s="244"/>
      <c r="L244" s="109"/>
      <c r="M244" s="325"/>
      <c r="N244" s="326"/>
      <c r="O244" s="340"/>
      <c r="P244" s="327"/>
      <c r="Q244" s="342"/>
    </row>
    <row r="245" spans="1:17" ht="24.95" customHeight="1">
      <c r="A245" s="195"/>
      <c r="B245" s="195"/>
      <c r="C245" s="195"/>
      <c r="D245" s="196"/>
      <c r="E245" s="472"/>
      <c r="F245" s="473"/>
      <c r="G245" s="473"/>
      <c r="H245" s="473"/>
      <c r="I245" s="473"/>
      <c r="J245" s="474" t="s">
        <v>1437</v>
      </c>
      <c r="K245" s="474"/>
      <c r="L245" s="109">
        <f>ROUNDDOWN(30000*8*0.012,0)</f>
        <v>2880</v>
      </c>
      <c r="M245" s="325">
        <f>+L245</f>
        <v>2880</v>
      </c>
      <c r="N245" s="326">
        <v>1440</v>
      </c>
      <c r="O245" s="340">
        <f t="shared" si="10"/>
        <v>1440</v>
      </c>
      <c r="P245" s="327"/>
      <c r="Q245" s="342" t="s">
        <v>1438</v>
      </c>
    </row>
    <row r="246" spans="1:17" ht="24.95" customHeight="1">
      <c r="A246" s="195"/>
      <c r="B246" s="195"/>
      <c r="C246" s="195"/>
      <c r="D246" s="196"/>
      <c r="E246" s="242"/>
      <c r="F246" s="243"/>
      <c r="G246" s="243"/>
      <c r="H246" s="473" t="s">
        <v>1439</v>
      </c>
      <c r="I246" s="473"/>
      <c r="J246" s="534"/>
      <c r="K246" s="244"/>
      <c r="L246" s="109"/>
      <c r="M246" s="325"/>
      <c r="N246" s="326"/>
      <c r="O246" s="340"/>
      <c r="P246" s="327"/>
      <c r="Q246" s="342"/>
    </row>
    <row r="247" spans="1:17" ht="24.95" customHeight="1">
      <c r="A247" s="195"/>
      <c r="B247" s="195"/>
      <c r="C247" s="195"/>
      <c r="D247" s="196"/>
      <c r="E247" s="532" t="s">
        <v>1440</v>
      </c>
      <c r="F247" s="533"/>
      <c r="G247" s="533"/>
      <c r="H247" s="533"/>
      <c r="I247" s="533"/>
      <c r="J247" s="533"/>
      <c r="K247" s="533"/>
      <c r="L247" s="109">
        <f>ROUNDDOWN(30000*4*12*50%/1000,0)</f>
        <v>720</v>
      </c>
      <c r="M247" s="325">
        <f>+L247</f>
        <v>720</v>
      </c>
      <c r="N247" s="326">
        <v>0</v>
      </c>
      <c r="O247" s="340">
        <f t="shared" si="10"/>
        <v>720</v>
      </c>
      <c r="P247" s="327"/>
      <c r="Q247" s="342"/>
    </row>
    <row r="248" spans="1:17" ht="24.95" customHeight="1">
      <c r="A248" s="195"/>
      <c r="B248" s="195"/>
      <c r="C248" s="195"/>
      <c r="D248" s="196"/>
      <c r="E248" s="242"/>
      <c r="F248" s="243"/>
      <c r="G248" s="243"/>
      <c r="H248" s="473" t="s">
        <v>1441</v>
      </c>
      <c r="I248" s="473"/>
      <c r="J248" s="244"/>
      <c r="K248" s="244"/>
      <c r="L248" s="109"/>
      <c r="M248" s="325"/>
      <c r="N248" s="326"/>
      <c r="O248" s="340"/>
      <c r="P248" s="327"/>
      <c r="Q248" s="342"/>
    </row>
    <row r="249" spans="1:17" ht="24.95" customHeight="1">
      <c r="A249" s="195"/>
      <c r="B249" s="195"/>
      <c r="C249" s="195"/>
      <c r="D249" s="196"/>
      <c r="E249" s="472"/>
      <c r="F249" s="473"/>
      <c r="G249" s="473"/>
      <c r="H249" s="473"/>
      <c r="I249" s="473"/>
      <c r="J249" s="474" t="s">
        <v>1166</v>
      </c>
      <c r="K249" s="474"/>
      <c r="L249" s="109">
        <f>ROUNDDOWN(20000*6*0.012,0)</f>
        <v>1440</v>
      </c>
      <c r="M249" s="325">
        <f>+L249</f>
        <v>1440</v>
      </c>
      <c r="N249" s="326">
        <v>960</v>
      </c>
      <c r="O249" s="340">
        <f t="shared" si="10"/>
        <v>480</v>
      </c>
      <c r="P249" s="327"/>
      <c r="Q249" s="342" t="s">
        <v>1442</v>
      </c>
    </row>
    <row r="250" spans="1:17" ht="24.95" customHeight="1">
      <c r="A250" s="195"/>
      <c r="B250" s="195"/>
      <c r="C250" s="195"/>
      <c r="D250" s="196"/>
      <c r="E250" s="242"/>
      <c r="F250" s="243"/>
      <c r="G250" s="243"/>
      <c r="H250" s="473" t="s">
        <v>1443</v>
      </c>
      <c r="I250" s="473"/>
      <c r="J250" s="534"/>
      <c r="K250" s="244"/>
      <c r="L250" s="109"/>
      <c r="M250" s="325"/>
      <c r="N250" s="326"/>
      <c r="O250" s="340"/>
      <c r="P250" s="327"/>
      <c r="Q250" s="342"/>
    </row>
    <row r="251" spans="1:17" ht="24.95" customHeight="1">
      <c r="A251" s="195"/>
      <c r="B251" s="195"/>
      <c r="C251" s="195"/>
      <c r="D251" s="196"/>
      <c r="E251" s="532" t="s">
        <v>1444</v>
      </c>
      <c r="F251" s="533"/>
      <c r="G251" s="533"/>
      <c r="H251" s="533"/>
      <c r="I251" s="533"/>
      <c r="J251" s="533"/>
      <c r="K251" s="533"/>
      <c r="L251" s="109">
        <f>ROUNDDOWN(20000*4*12*50%/1000,0)</f>
        <v>480</v>
      </c>
      <c r="M251" s="325">
        <f>+L251</f>
        <v>480</v>
      </c>
      <c r="N251" s="326">
        <v>0</v>
      </c>
      <c r="O251" s="340">
        <f t="shared" si="10"/>
        <v>480</v>
      </c>
      <c r="P251" s="327"/>
      <c r="Q251" s="342"/>
    </row>
    <row r="252" spans="1:17" ht="24.95" customHeight="1">
      <c r="A252" s="195"/>
      <c r="B252" s="195"/>
      <c r="C252" s="195"/>
      <c r="D252" s="196"/>
      <c r="E252" s="204"/>
      <c r="F252" s="205"/>
      <c r="G252" s="205"/>
      <c r="H252" s="473" t="s">
        <v>1165</v>
      </c>
      <c r="I252" s="473"/>
      <c r="J252" s="203"/>
      <c r="K252" s="203"/>
      <c r="L252" s="109"/>
      <c r="M252" s="325"/>
      <c r="N252" s="326"/>
      <c r="O252" s="340"/>
      <c r="P252" s="327"/>
      <c r="Q252" s="342"/>
    </row>
    <row r="253" spans="1:17" ht="24.95" customHeight="1">
      <c r="A253" s="195"/>
      <c r="B253" s="195"/>
      <c r="C253" s="195"/>
      <c r="D253" s="196"/>
      <c r="E253" s="472"/>
      <c r="F253" s="473"/>
      <c r="G253" s="473"/>
      <c r="H253" s="473"/>
      <c r="I253" s="473"/>
      <c r="J253" s="474" t="s">
        <v>1445</v>
      </c>
      <c r="K253" s="474"/>
      <c r="L253" s="109">
        <f>ROUNDDOWN(20000*12*0.012,0)</f>
        <v>2880</v>
      </c>
      <c r="M253" s="325">
        <f>+L253</f>
        <v>2880</v>
      </c>
      <c r="N253" s="326">
        <v>1440</v>
      </c>
      <c r="O253" s="340">
        <f t="shared" si="10"/>
        <v>1440</v>
      </c>
      <c r="P253" s="327"/>
      <c r="Q253" s="342"/>
    </row>
    <row r="254" spans="1:17" ht="24.95" customHeight="1">
      <c r="A254" s="195"/>
      <c r="B254" s="195"/>
      <c r="C254" s="195"/>
      <c r="D254" s="196"/>
      <c r="E254" s="204"/>
      <c r="F254" s="205"/>
      <c r="G254" s="205"/>
      <c r="H254" s="473" t="s">
        <v>1446</v>
      </c>
      <c r="I254" s="473"/>
      <c r="J254" s="203"/>
      <c r="K254" s="203"/>
      <c r="L254" s="109"/>
      <c r="M254" s="325"/>
      <c r="N254" s="326"/>
      <c r="O254" s="340"/>
      <c r="P254" s="327"/>
      <c r="Q254" s="342"/>
    </row>
    <row r="255" spans="1:17" ht="24.95" customHeight="1">
      <c r="A255" s="195"/>
      <c r="B255" s="195"/>
      <c r="C255" s="195"/>
      <c r="D255" s="196"/>
      <c r="E255" s="532" t="s">
        <v>1447</v>
      </c>
      <c r="F255" s="533"/>
      <c r="G255" s="533"/>
      <c r="H255" s="533"/>
      <c r="I255" s="533"/>
      <c r="J255" s="533"/>
      <c r="K255" s="533"/>
      <c r="L255" s="109">
        <f>ROUNDDOWN(20000*8*12*50%/1000,0)</f>
        <v>960</v>
      </c>
      <c r="M255" s="325">
        <f>+L255</f>
        <v>960</v>
      </c>
      <c r="N255" s="326">
        <v>0</v>
      </c>
      <c r="O255" s="340">
        <f t="shared" si="10"/>
        <v>960</v>
      </c>
      <c r="P255" s="327"/>
      <c r="Q255" s="342"/>
    </row>
    <row r="256" spans="1:17" ht="24.95" customHeight="1">
      <c r="A256" s="195"/>
      <c r="B256" s="195"/>
      <c r="C256" s="195"/>
      <c r="D256" s="196"/>
      <c r="E256" s="204"/>
      <c r="F256" s="205"/>
      <c r="G256" s="205"/>
      <c r="H256" s="473" t="s">
        <v>1167</v>
      </c>
      <c r="I256" s="473"/>
      <c r="J256" s="203"/>
      <c r="K256" s="203"/>
      <c r="L256" s="109"/>
      <c r="M256" s="325"/>
      <c r="N256" s="326"/>
      <c r="O256" s="340"/>
      <c r="P256" s="327"/>
      <c r="Q256" s="342"/>
    </row>
    <row r="257" spans="1:17" ht="24.95" customHeight="1">
      <c r="A257" s="195"/>
      <c r="B257" s="195"/>
      <c r="C257" s="195"/>
      <c r="D257" s="196"/>
      <c r="E257" s="472"/>
      <c r="F257" s="473"/>
      <c r="G257" s="473"/>
      <c r="H257" s="473"/>
      <c r="I257" s="473"/>
      <c r="J257" s="474" t="s">
        <v>1168</v>
      </c>
      <c r="K257" s="474"/>
      <c r="L257" s="109">
        <f>ROUNDDOWN(42000*2*0.012,0)</f>
        <v>1008</v>
      </c>
      <c r="M257" s="325">
        <f>+L257</f>
        <v>1008</v>
      </c>
      <c r="N257" s="326">
        <v>1008</v>
      </c>
      <c r="O257" s="340">
        <f t="shared" si="10"/>
        <v>0</v>
      </c>
      <c r="P257" s="327"/>
      <c r="Q257" s="342"/>
    </row>
    <row r="258" spans="1:17" ht="24.95" customHeight="1">
      <c r="A258" s="195"/>
      <c r="B258" s="195"/>
      <c r="C258" s="195"/>
      <c r="D258" s="196"/>
      <c r="E258" s="204"/>
      <c r="F258" s="205"/>
      <c r="G258" s="205"/>
      <c r="H258" s="473" t="s">
        <v>1169</v>
      </c>
      <c r="I258" s="473"/>
      <c r="J258" s="203"/>
      <c r="K258" s="203"/>
      <c r="L258" s="109"/>
      <c r="M258" s="325"/>
      <c r="N258" s="326"/>
      <c r="O258" s="340"/>
      <c r="P258" s="327"/>
      <c r="Q258" s="342"/>
    </row>
    <row r="259" spans="1:17" ht="24.95" customHeight="1">
      <c r="A259" s="195"/>
      <c r="B259" s="195"/>
      <c r="C259" s="195"/>
      <c r="D259" s="196"/>
      <c r="E259" s="472"/>
      <c r="F259" s="473"/>
      <c r="G259" s="473"/>
      <c r="H259" s="473"/>
      <c r="I259" s="473"/>
      <c r="J259" s="474" t="s">
        <v>1448</v>
      </c>
      <c r="K259" s="474"/>
      <c r="L259" s="109">
        <f>ROUNDDOWN(62000*1*0.012,0)</f>
        <v>744</v>
      </c>
      <c r="M259" s="325">
        <f>+L259</f>
        <v>744</v>
      </c>
      <c r="N259" s="326">
        <v>1488</v>
      </c>
      <c r="O259" s="340">
        <f t="shared" si="10"/>
        <v>-744</v>
      </c>
      <c r="P259" s="327"/>
      <c r="Q259" s="342"/>
    </row>
    <row r="260" spans="1:17" ht="24.95" customHeight="1">
      <c r="A260" s="195"/>
      <c r="B260" s="195"/>
      <c r="C260" s="195"/>
      <c r="D260" s="196"/>
      <c r="E260" s="204"/>
      <c r="F260" s="205"/>
      <c r="G260" s="205"/>
      <c r="H260" s="473" t="s">
        <v>1449</v>
      </c>
      <c r="I260" s="473"/>
      <c r="J260" s="521"/>
      <c r="K260" s="203"/>
      <c r="L260" s="109"/>
      <c r="M260" s="325"/>
      <c r="N260" s="326"/>
      <c r="O260" s="340"/>
      <c r="P260" s="327"/>
      <c r="Q260" s="342"/>
    </row>
    <row r="261" spans="1:17" ht="24.95" customHeight="1">
      <c r="A261" s="195"/>
      <c r="B261" s="195"/>
      <c r="C261" s="195"/>
      <c r="D261" s="196"/>
      <c r="E261" s="532" t="s">
        <v>1450</v>
      </c>
      <c r="F261" s="533"/>
      <c r="G261" s="533"/>
      <c r="H261" s="533"/>
      <c r="I261" s="533"/>
      <c r="J261" s="533"/>
      <c r="K261" s="533"/>
      <c r="L261" s="109">
        <f>ROUNDDOWN(62000*1*12*50%/1000,0)</f>
        <v>372</v>
      </c>
      <c r="M261" s="325">
        <f>+L261</f>
        <v>372</v>
      </c>
      <c r="N261" s="326">
        <v>0</v>
      </c>
      <c r="O261" s="340">
        <f t="shared" si="10"/>
        <v>372</v>
      </c>
      <c r="P261" s="327"/>
      <c r="Q261" s="342"/>
    </row>
    <row r="262" spans="1:17" ht="24.95" customHeight="1">
      <c r="A262" s="195"/>
      <c r="B262" s="195"/>
      <c r="C262" s="195"/>
      <c r="D262" s="196"/>
      <c r="E262" s="204"/>
      <c r="F262" s="205"/>
      <c r="G262" s="205"/>
      <c r="H262" s="473" t="s">
        <v>1170</v>
      </c>
      <c r="I262" s="473"/>
      <c r="J262" s="203"/>
      <c r="K262" s="203"/>
      <c r="L262" s="109"/>
      <c r="M262" s="325"/>
      <c r="N262" s="326"/>
      <c r="O262" s="340"/>
      <c r="P262" s="327"/>
      <c r="Q262" s="342"/>
    </row>
    <row r="263" spans="1:17" ht="24.95" customHeight="1">
      <c r="A263" s="195"/>
      <c r="B263" s="195"/>
      <c r="C263" s="195"/>
      <c r="D263" s="196"/>
      <c r="E263" s="532" t="s">
        <v>1451</v>
      </c>
      <c r="F263" s="533"/>
      <c r="G263" s="533"/>
      <c r="H263" s="533"/>
      <c r="I263" s="533"/>
      <c r="J263" s="533"/>
      <c r="K263" s="533"/>
      <c r="L263" s="109">
        <f>ROUNDDOWN(45000*9*1*0.002,0)</f>
        <v>810</v>
      </c>
      <c r="M263" s="325">
        <f>+L263</f>
        <v>810</v>
      </c>
      <c r="N263" s="326">
        <v>900</v>
      </c>
      <c r="O263" s="340">
        <f t="shared" si="10"/>
        <v>-90</v>
      </c>
      <c r="P263" s="327"/>
      <c r="Q263" s="343" t="s">
        <v>1452</v>
      </c>
    </row>
    <row r="264" spans="1:17" ht="24.95" customHeight="1">
      <c r="A264" s="195"/>
      <c r="B264" s="195"/>
      <c r="C264" s="195"/>
      <c r="D264" s="196"/>
      <c r="E264" s="204"/>
      <c r="F264" s="205"/>
      <c r="G264" s="205"/>
      <c r="H264" s="473" t="s">
        <v>1453</v>
      </c>
      <c r="I264" s="473"/>
      <c r="J264" s="203"/>
      <c r="K264" s="203"/>
      <c r="L264" s="109"/>
      <c r="M264" s="325"/>
      <c r="N264" s="326"/>
      <c r="O264" s="340"/>
      <c r="P264" s="327"/>
      <c r="Q264" s="342"/>
    </row>
    <row r="265" spans="1:17" ht="24.95" customHeight="1">
      <c r="A265" s="195"/>
      <c r="B265" s="195"/>
      <c r="C265" s="195"/>
      <c r="D265" s="196"/>
      <c r="E265" s="532" t="s">
        <v>1454</v>
      </c>
      <c r="F265" s="533"/>
      <c r="G265" s="533"/>
      <c r="H265" s="533"/>
      <c r="I265" s="533"/>
      <c r="J265" s="533"/>
      <c r="K265" s="533"/>
      <c r="L265" s="109">
        <f>ROUNDDOWN(45000*6*1*2*50%/1000,0)</f>
        <v>270</v>
      </c>
      <c r="M265" s="325">
        <f>+L265</f>
        <v>270</v>
      </c>
      <c r="N265" s="326">
        <v>0</v>
      </c>
      <c r="O265" s="340">
        <f t="shared" si="10"/>
        <v>270</v>
      </c>
      <c r="P265" s="327"/>
      <c r="Q265" s="342"/>
    </row>
    <row r="266" spans="1:17" ht="24.95" customHeight="1">
      <c r="A266" s="195"/>
      <c r="B266" s="195"/>
      <c r="C266" s="195"/>
      <c r="D266" s="196"/>
      <c r="E266" s="204"/>
      <c r="F266" s="205"/>
      <c r="G266" s="205"/>
      <c r="H266" s="473" t="s">
        <v>1171</v>
      </c>
      <c r="I266" s="473"/>
      <c r="J266" s="203"/>
      <c r="K266" s="203"/>
      <c r="L266" s="109"/>
      <c r="M266" s="325"/>
      <c r="N266" s="326"/>
      <c r="O266" s="340"/>
      <c r="P266" s="327"/>
      <c r="Q266" s="342"/>
    </row>
    <row r="267" spans="1:17" ht="24.95" customHeight="1">
      <c r="A267" s="195"/>
      <c r="B267" s="195"/>
      <c r="C267" s="195"/>
      <c r="D267" s="196"/>
      <c r="E267" s="472"/>
      <c r="F267" s="473"/>
      <c r="G267" s="473"/>
      <c r="H267" s="473"/>
      <c r="I267" s="473"/>
      <c r="J267" s="474" t="s">
        <v>1455</v>
      </c>
      <c r="K267" s="474"/>
      <c r="L267" s="109">
        <f>ROUNDDOWN(40000*4*0.012,0)</f>
        <v>1920</v>
      </c>
      <c r="M267" s="325">
        <f>+L267</f>
        <v>1920</v>
      </c>
      <c r="N267" s="326">
        <v>480</v>
      </c>
      <c r="O267" s="340">
        <f t="shared" si="10"/>
        <v>1440</v>
      </c>
      <c r="P267" s="327"/>
      <c r="Q267" s="342" t="s">
        <v>1456</v>
      </c>
    </row>
    <row r="268" spans="1:17" ht="24.95" customHeight="1">
      <c r="A268" s="195"/>
      <c r="B268" s="195"/>
      <c r="C268" s="195"/>
      <c r="D268" s="196"/>
      <c r="E268" s="472" t="s">
        <v>1053</v>
      </c>
      <c r="F268" s="473"/>
      <c r="G268" s="473"/>
      <c r="H268" s="473"/>
      <c r="I268" s="473"/>
      <c r="J268" s="474"/>
      <c r="K268" s="474"/>
      <c r="L268" s="109"/>
      <c r="M268" s="325"/>
      <c r="N268" s="326"/>
      <c r="O268" s="340"/>
      <c r="P268" s="327"/>
      <c r="Q268" s="342"/>
    </row>
    <row r="269" spans="1:17" ht="24.95" customHeight="1">
      <c r="A269" s="195"/>
      <c r="B269" s="195"/>
      <c r="C269" s="195"/>
      <c r="D269" s="196"/>
      <c r="E269" s="204"/>
      <c r="F269" s="205"/>
      <c r="G269" s="205"/>
      <c r="H269" s="473" t="s">
        <v>1132</v>
      </c>
      <c r="I269" s="473"/>
      <c r="J269" s="203"/>
      <c r="K269" s="203"/>
      <c r="L269" s="109"/>
      <c r="M269" s="325"/>
      <c r="N269" s="326"/>
      <c r="O269" s="340"/>
      <c r="P269" s="327"/>
      <c r="Q269" s="342"/>
    </row>
    <row r="270" spans="1:17" ht="24.95" customHeight="1">
      <c r="A270" s="195"/>
      <c r="B270" s="195"/>
      <c r="C270" s="195"/>
      <c r="D270" s="196"/>
      <c r="E270" s="472"/>
      <c r="F270" s="473"/>
      <c r="G270" s="473"/>
      <c r="H270" s="473"/>
      <c r="I270" s="473"/>
      <c r="J270" s="474" t="s">
        <v>1172</v>
      </c>
      <c r="K270" s="474"/>
      <c r="L270" s="109">
        <f>ROUNDDOWN(26000*10*0.012,0)</f>
        <v>3120</v>
      </c>
      <c r="M270" s="325">
        <f>+L270</f>
        <v>3120</v>
      </c>
      <c r="N270" s="326">
        <v>3120</v>
      </c>
      <c r="O270" s="340">
        <f t="shared" si="10"/>
        <v>0</v>
      </c>
      <c r="P270" s="327"/>
      <c r="Q270" s="343" t="s">
        <v>1966</v>
      </c>
    </row>
    <row r="271" spans="1:17" ht="24.95" customHeight="1">
      <c r="A271" s="195"/>
      <c r="B271" s="195"/>
      <c r="C271" s="195"/>
      <c r="D271" s="196"/>
      <c r="E271" s="204"/>
      <c r="F271" s="205"/>
      <c r="G271" s="205"/>
      <c r="H271" s="473" t="s">
        <v>1374</v>
      </c>
      <c r="I271" s="473"/>
      <c r="J271" s="203"/>
      <c r="K271" s="203"/>
      <c r="L271" s="109"/>
      <c r="M271" s="325"/>
      <c r="N271" s="326"/>
      <c r="O271" s="340"/>
      <c r="P271" s="327"/>
      <c r="Q271" s="342"/>
    </row>
    <row r="272" spans="1:17" ht="24.95" customHeight="1">
      <c r="A272" s="195"/>
      <c r="B272" s="195"/>
      <c r="C272" s="195"/>
      <c r="D272" s="196"/>
      <c r="E272" s="532" t="s">
        <v>1457</v>
      </c>
      <c r="F272" s="533"/>
      <c r="G272" s="533"/>
      <c r="H272" s="533"/>
      <c r="I272" s="533"/>
      <c r="J272" s="533"/>
      <c r="K272" s="533"/>
      <c r="L272" s="109">
        <f>ROUNDDOWN(26000*6*12*50%/1000,0)</f>
        <v>936</v>
      </c>
      <c r="M272" s="325">
        <f>+L272</f>
        <v>936</v>
      </c>
      <c r="N272" s="326">
        <v>0</v>
      </c>
      <c r="O272" s="340">
        <f t="shared" si="10"/>
        <v>936</v>
      </c>
      <c r="P272" s="327"/>
      <c r="Q272" s="342"/>
    </row>
    <row r="273" spans="1:17" ht="24.95" customHeight="1">
      <c r="A273" s="195"/>
      <c r="B273" s="195"/>
      <c r="C273" s="195"/>
      <c r="D273" s="196"/>
      <c r="E273" s="204"/>
      <c r="F273" s="205"/>
      <c r="G273" s="205"/>
      <c r="H273" s="473" t="s">
        <v>1133</v>
      </c>
      <c r="I273" s="473"/>
      <c r="J273" s="203"/>
      <c r="K273" s="203"/>
      <c r="L273" s="109"/>
      <c r="M273" s="325"/>
      <c r="N273" s="326"/>
      <c r="O273" s="340"/>
      <c r="P273" s="327"/>
      <c r="Q273" s="342"/>
    </row>
    <row r="274" spans="1:17" ht="24.95" customHeight="1">
      <c r="A274" s="195"/>
      <c r="B274" s="195"/>
      <c r="C274" s="195"/>
      <c r="D274" s="196"/>
      <c r="E274" s="472"/>
      <c r="F274" s="473"/>
      <c r="G274" s="473"/>
      <c r="H274" s="473"/>
      <c r="I274" s="473"/>
      <c r="J274" s="474" t="s">
        <v>1173</v>
      </c>
      <c r="K274" s="474"/>
      <c r="L274" s="109">
        <f>ROUNDDOWN(24000*10*0.012,0)</f>
        <v>2880</v>
      </c>
      <c r="M274" s="325">
        <f>+L274</f>
        <v>2880</v>
      </c>
      <c r="N274" s="326">
        <v>2880</v>
      </c>
      <c r="O274" s="340">
        <f t="shared" si="10"/>
        <v>0</v>
      </c>
      <c r="P274" s="327"/>
      <c r="Q274" s="343" t="s">
        <v>1966</v>
      </c>
    </row>
    <row r="275" spans="1:17" ht="24.95" customHeight="1">
      <c r="A275" s="195"/>
      <c r="B275" s="195"/>
      <c r="C275" s="195"/>
      <c r="D275" s="196"/>
      <c r="E275" s="204"/>
      <c r="F275" s="205"/>
      <c r="G275" s="205"/>
      <c r="H275" s="473" t="s">
        <v>1357</v>
      </c>
      <c r="I275" s="473"/>
      <c r="J275" s="203"/>
      <c r="K275" s="203"/>
      <c r="L275" s="109"/>
      <c r="M275" s="325"/>
      <c r="N275" s="326"/>
      <c r="O275" s="340"/>
      <c r="P275" s="327"/>
      <c r="Q275" s="342"/>
    </row>
    <row r="276" spans="1:17" ht="24.95" customHeight="1">
      <c r="A276" s="195"/>
      <c r="B276" s="195"/>
      <c r="C276" s="195"/>
      <c r="D276" s="196"/>
      <c r="E276" s="532" t="s">
        <v>1458</v>
      </c>
      <c r="F276" s="533"/>
      <c r="G276" s="533"/>
      <c r="H276" s="533"/>
      <c r="I276" s="533"/>
      <c r="J276" s="533"/>
      <c r="K276" s="533"/>
      <c r="L276" s="109">
        <f>ROUNDDOWN(24000*6*12*50%/1000,0)</f>
        <v>864</v>
      </c>
      <c r="M276" s="325">
        <f>+L276</f>
        <v>864</v>
      </c>
      <c r="N276" s="326">
        <v>0</v>
      </c>
      <c r="O276" s="340">
        <f t="shared" si="10"/>
        <v>864</v>
      </c>
      <c r="P276" s="327"/>
      <c r="Q276" s="342"/>
    </row>
    <row r="277" spans="1:17" ht="24.95" customHeight="1">
      <c r="A277" s="195"/>
      <c r="B277" s="195"/>
      <c r="C277" s="195"/>
      <c r="D277" s="196"/>
      <c r="E277" s="204"/>
      <c r="F277" s="205"/>
      <c r="G277" s="205"/>
      <c r="H277" s="473" t="s">
        <v>1174</v>
      </c>
      <c r="I277" s="473"/>
      <c r="J277" s="203"/>
      <c r="K277" s="203"/>
      <c r="L277" s="109"/>
      <c r="M277" s="325"/>
      <c r="N277" s="326"/>
      <c r="O277" s="340"/>
      <c r="P277" s="327"/>
      <c r="Q277" s="342"/>
    </row>
    <row r="278" spans="1:17" ht="24.95" customHeight="1">
      <c r="A278" s="195"/>
      <c r="B278" s="195"/>
      <c r="C278" s="195"/>
      <c r="D278" s="196"/>
      <c r="E278" s="532" t="s">
        <v>1459</v>
      </c>
      <c r="F278" s="533"/>
      <c r="G278" s="533"/>
      <c r="H278" s="533"/>
      <c r="I278" s="533"/>
      <c r="J278" s="533"/>
      <c r="K278" s="533"/>
      <c r="L278" s="109">
        <f>ROUNDDOWN(45000*8*1*0.002,0)</f>
        <v>720</v>
      </c>
      <c r="M278" s="325">
        <f>+L278</f>
        <v>720</v>
      </c>
      <c r="N278" s="326">
        <v>900</v>
      </c>
      <c r="O278" s="340">
        <f t="shared" si="10"/>
        <v>-180</v>
      </c>
      <c r="P278" s="327"/>
      <c r="Q278" s="343" t="s">
        <v>1460</v>
      </c>
    </row>
    <row r="279" spans="1:17" ht="24.95" customHeight="1">
      <c r="A279" s="195"/>
      <c r="B279" s="195"/>
      <c r="C279" s="195"/>
      <c r="D279" s="196"/>
      <c r="E279" s="204"/>
      <c r="F279" s="205"/>
      <c r="G279" s="205"/>
      <c r="H279" s="473" t="s">
        <v>1461</v>
      </c>
      <c r="I279" s="473"/>
      <c r="J279" s="203"/>
      <c r="K279" s="203"/>
      <c r="L279" s="109"/>
      <c r="M279" s="325"/>
      <c r="N279" s="326"/>
      <c r="O279" s="340"/>
      <c r="P279" s="327"/>
      <c r="Q279" s="342"/>
    </row>
    <row r="280" spans="1:17" ht="24.95" customHeight="1">
      <c r="A280" s="195"/>
      <c r="B280" s="195"/>
      <c r="C280" s="195"/>
      <c r="D280" s="196"/>
      <c r="E280" s="532" t="s">
        <v>1462</v>
      </c>
      <c r="F280" s="533"/>
      <c r="G280" s="533"/>
      <c r="H280" s="533"/>
      <c r="I280" s="533"/>
      <c r="J280" s="533"/>
      <c r="K280" s="533"/>
      <c r="L280" s="109">
        <f>ROUNDDOWN(45000*8*1*2*50%/1000,0)</f>
        <v>360</v>
      </c>
      <c r="M280" s="325">
        <f>+L280</f>
        <v>360</v>
      </c>
      <c r="N280" s="326">
        <v>0</v>
      </c>
      <c r="O280" s="340">
        <f t="shared" si="10"/>
        <v>360</v>
      </c>
      <c r="P280" s="327"/>
      <c r="Q280" s="342"/>
    </row>
    <row r="281" spans="1:17" ht="24.95" customHeight="1">
      <c r="A281" s="195"/>
      <c r="B281" s="195"/>
      <c r="C281" s="195"/>
      <c r="D281" s="196"/>
      <c r="E281" s="472" t="s">
        <v>1175</v>
      </c>
      <c r="F281" s="473"/>
      <c r="G281" s="473"/>
      <c r="H281" s="473"/>
      <c r="I281" s="473"/>
      <c r="J281" s="474"/>
      <c r="K281" s="474"/>
      <c r="L281" s="109"/>
      <c r="M281" s="325"/>
      <c r="N281" s="326"/>
      <c r="O281" s="340"/>
      <c r="P281" s="327"/>
      <c r="Q281" s="342"/>
    </row>
    <row r="282" spans="1:17" ht="24.95" customHeight="1">
      <c r="A282" s="195"/>
      <c r="B282" s="195"/>
      <c r="C282" s="195"/>
      <c r="D282" s="196"/>
      <c r="E282" s="204"/>
      <c r="F282" s="205"/>
      <c r="G282" s="205"/>
      <c r="H282" s="473" t="s">
        <v>903</v>
      </c>
      <c r="I282" s="473"/>
      <c r="J282" s="203"/>
      <c r="K282" s="203"/>
      <c r="L282" s="109"/>
      <c r="M282" s="325"/>
      <c r="N282" s="326"/>
      <c r="O282" s="340"/>
      <c r="P282" s="327"/>
      <c r="Q282" s="342"/>
    </row>
    <row r="283" spans="1:17" ht="24.95" customHeight="1">
      <c r="A283" s="195"/>
      <c r="B283" s="195"/>
      <c r="C283" s="195"/>
      <c r="D283" s="196"/>
      <c r="E283" s="532" t="s">
        <v>1463</v>
      </c>
      <c r="F283" s="533"/>
      <c r="G283" s="533"/>
      <c r="H283" s="533"/>
      <c r="I283" s="533"/>
      <c r="J283" s="533"/>
      <c r="K283" s="533"/>
      <c r="L283" s="109">
        <f>ROUNDDOWN(24000*6*3*0.012,0)</f>
        <v>5184</v>
      </c>
      <c r="M283" s="325">
        <f>+L283</f>
        <v>5184</v>
      </c>
      <c r="N283" s="326">
        <v>11232</v>
      </c>
      <c r="O283" s="340">
        <f t="shared" si="10"/>
        <v>-6048</v>
      </c>
      <c r="P283" s="327"/>
      <c r="Q283" s="342"/>
    </row>
    <row r="284" spans="1:17" ht="24.95" customHeight="1">
      <c r="A284" s="195"/>
      <c r="B284" s="195"/>
      <c r="C284" s="195"/>
      <c r="D284" s="196"/>
      <c r="E284" s="204"/>
      <c r="F284" s="205"/>
      <c r="G284" s="205"/>
      <c r="H284" s="473" t="s">
        <v>906</v>
      </c>
      <c r="I284" s="473"/>
      <c r="J284" s="203"/>
      <c r="K284" s="203"/>
      <c r="L284" s="109"/>
      <c r="M284" s="325"/>
      <c r="N284" s="326"/>
      <c r="O284" s="340"/>
      <c r="P284" s="327"/>
      <c r="Q284" s="342"/>
    </row>
    <row r="285" spans="1:17" ht="24.95" customHeight="1">
      <c r="A285" s="195"/>
      <c r="B285" s="195"/>
      <c r="C285" s="195"/>
      <c r="D285" s="196"/>
      <c r="E285" s="532" t="s">
        <v>1464</v>
      </c>
      <c r="F285" s="533"/>
      <c r="G285" s="533"/>
      <c r="H285" s="533"/>
      <c r="I285" s="533"/>
      <c r="J285" s="533"/>
      <c r="K285" s="533"/>
      <c r="L285" s="109">
        <f>ROUNDDOWN(24000*6*12*90%/1000,0)</f>
        <v>1555</v>
      </c>
      <c r="M285" s="325">
        <f>+L285</f>
        <v>1555</v>
      </c>
      <c r="N285" s="326">
        <v>518</v>
      </c>
      <c r="O285" s="340">
        <f t="shared" si="10"/>
        <v>1037</v>
      </c>
      <c r="P285" s="327"/>
      <c r="Q285" s="342"/>
    </row>
    <row r="286" spans="1:17" ht="24.95" customHeight="1">
      <c r="A286" s="195"/>
      <c r="B286" s="195"/>
      <c r="C286" s="195"/>
      <c r="D286" s="196"/>
      <c r="E286" s="204"/>
      <c r="F286" s="205"/>
      <c r="G286" s="205"/>
      <c r="H286" s="473" t="s">
        <v>1465</v>
      </c>
      <c r="I286" s="473"/>
      <c r="J286" s="203"/>
      <c r="K286" s="203"/>
      <c r="L286" s="109"/>
      <c r="M286" s="325"/>
      <c r="N286" s="326"/>
      <c r="O286" s="340"/>
      <c r="P286" s="327"/>
      <c r="Q286" s="342"/>
    </row>
    <row r="287" spans="1:17" ht="24.95" customHeight="1">
      <c r="A287" s="195"/>
      <c r="B287" s="195"/>
      <c r="C287" s="195"/>
      <c r="D287" s="196"/>
      <c r="E287" s="532" t="s">
        <v>1458</v>
      </c>
      <c r="F287" s="533"/>
      <c r="G287" s="533"/>
      <c r="H287" s="533"/>
      <c r="I287" s="533"/>
      <c r="J287" s="533"/>
      <c r="K287" s="533"/>
      <c r="L287" s="109">
        <f>ROUNDDOWN(24000*6*12*50%/1000,0)</f>
        <v>864</v>
      </c>
      <c r="M287" s="325">
        <f>+L287</f>
        <v>864</v>
      </c>
      <c r="N287" s="326">
        <v>0</v>
      </c>
      <c r="O287" s="340">
        <f t="shared" ref="O287:O313" si="11">+M287-N287</f>
        <v>864</v>
      </c>
      <c r="P287" s="327"/>
      <c r="Q287" s="342"/>
    </row>
    <row r="288" spans="1:17" s="225" customFormat="1" ht="24.95" hidden="1" customHeight="1">
      <c r="A288" s="226"/>
      <c r="B288" s="226"/>
      <c r="C288" s="226"/>
      <c r="D288" s="227"/>
      <c r="E288" s="472" t="s">
        <v>1967</v>
      </c>
      <c r="F288" s="473"/>
      <c r="G288" s="473"/>
      <c r="H288" s="473"/>
      <c r="I288" s="473"/>
      <c r="J288" s="474"/>
      <c r="K288" s="474"/>
      <c r="L288" s="109"/>
      <c r="M288" s="325"/>
      <c r="N288" s="326"/>
      <c r="O288" s="340"/>
      <c r="P288" s="327"/>
      <c r="Q288" s="342"/>
    </row>
    <row r="289" spans="1:17" s="225" customFormat="1" ht="24.95" hidden="1" customHeight="1">
      <c r="A289" s="226"/>
      <c r="B289" s="226"/>
      <c r="C289" s="226"/>
      <c r="D289" s="227"/>
      <c r="E289" s="242"/>
      <c r="F289" s="243"/>
      <c r="G289" s="243"/>
      <c r="H289" s="473" t="s">
        <v>1133</v>
      </c>
      <c r="I289" s="473"/>
      <c r="J289" s="244"/>
      <c r="K289" s="244"/>
      <c r="L289" s="109"/>
      <c r="M289" s="325"/>
      <c r="N289" s="326"/>
      <c r="O289" s="340"/>
      <c r="P289" s="327"/>
      <c r="Q289" s="342"/>
    </row>
    <row r="290" spans="1:17" s="225" customFormat="1" ht="24.95" hidden="1" customHeight="1">
      <c r="A290" s="226"/>
      <c r="B290" s="226"/>
      <c r="C290" s="226"/>
      <c r="D290" s="227"/>
      <c r="E290" s="472"/>
      <c r="F290" s="473"/>
      <c r="G290" s="473"/>
      <c r="H290" s="473"/>
      <c r="I290" s="473"/>
      <c r="J290" s="474"/>
      <c r="K290" s="474"/>
      <c r="L290" s="109">
        <v>0</v>
      </c>
      <c r="M290" s="325"/>
      <c r="N290" s="326">
        <v>10800</v>
      </c>
      <c r="O290" s="340">
        <f t="shared" ref="O290" si="12">+M290-N290</f>
        <v>-10800</v>
      </c>
      <c r="P290" s="327"/>
      <c r="Q290" s="342" t="s">
        <v>1466</v>
      </c>
    </row>
    <row r="291" spans="1:17" s="225" customFormat="1" ht="24.95" hidden="1" customHeight="1">
      <c r="A291" s="226"/>
      <c r="B291" s="226"/>
      <c r="C291" s="226"/>
      <c r="D291" s="227"/>
      <c r="E291" s="242"/>
      <c r="F291" s="243"/>
      <c r="G291" s="243"/>
      <c r="H291" s="473" t="s">
        <v>1176</v>
      </c>
      <c r="I291" s="473"/>
      <c r="J291" s="244"/>
      <c r="K291" s="244"/>
      <c r="L291" s="109"/>
      <c r="M291" s="325"/>
      <c r="N291" s="326"/>
      <c r="O291" s="340"/>
      <c r="P291" s="327"/>
      <c r="Q291" s="342"/>
    </row>
    <row r="292" spans="1:17" s="225" customFormat="1" ht="24.95" hidden="1" customHeight="1">
      <c r="A292" s="226"/>
      <c r="B292" s="226"/>
      <c r="C292" s="226"/>
      <c r="D292" s="227"/>
      <c r="E292" s="472"/>
      <c r="F292" s="473"/>
      <c r="G292" s="473"/>
      <c r="H292" s="473"/>
      <c r="I292" s="473"/>
      <c r="J292" s="474"/>
      <c r="K292" s="474"/>
      <c r="L292" s="109">
        <v>0</v>
      </c>
      <c r="M292" s="325"/>
      <c r="N292" s="326">
        <v>7200</v>
      </c>
      <c r="O292" s="340">
        <f t="shared" ref="O292" si="13">+M292-N292</f>
        <v>-7200</v>
      </c>
      <c r="P292" s="327"/>
      <c r="Q292" s="342" t="s">
        <v>1467</v>
      </c>
    </row>
    <row r="293" spans="1:17" ht="24.95" customHeight="1">
      <c r="A293" s="195"/>
      <c r="B293" s="195"/>
      <c r="C293" s="195"/>
      <c r="D293" s="196"/>
      <c r="E293" s="472" t="s">
        <v>1468</v>
      </c>
      <c r="F293" s="473"/>
      <c r="G293" s="473"/>
      <c r="H293" s="473"/>
      <c r="I293" s="473"/>
      <c r="J293" s="474"/>
      <c r="K293" s="474"/>
      <c r="L293" s="109"/>
      <c r="M293" s="325"/>
      <c r="N293" s="326"/>
      <c r="O293" s="340"/>
      <c r="P293" s="327"/>
      <c r="Q293" s="342"/>
    </row>
    <row r="294" spans="1:17" ht="24.95" customHeight="1">
      <c r="A294" s="195"/>
      <c r="B294" s="195"/>
      <c r="C294" s="195"/>
      <c r="D294" s="196"/>
      <c r="E294" s="204"/>
      <c r="F294" s="205"/>
      <c r="G294" s="205"/>
      <c r="H294" s="473" t="s">
        <v>1133</v>
      </c>
      <c r="I294" s="473"/>
      <c r="J294" s="203"/>
      <c r="K294" s="203"/>
      <c r="L294" s="109"/>
      <c r="M294" s="325"/>
      <c r="N294" s="326"/>
      <c r="O294" s="340"/>
      <c r="P294" s="327"/>
      <c r="Q294" s="342"/>
    </row>
    <row r="295" spans="1:17" ht="24.95" customHeight="1">
      <c r="A295" s="195"/>
      <c r="B295" s="195"/>
      <c r="C295" s="195"/>
      <c r="D295" s="196"/>
      <c r="E295" s="472"/>
      <c r="F295" s="473"/>
      <c r="G295" s="473"/>
      <c r="H295" s="473"/>
      <c r="I295" s="473"/>
      <c r="J295" s="474" t="s">
        <v>1469</v>
      </c>
      <c r="K295" s="474"/>
      <c r="L295" s="109">
        <f>ROUNDDOWN(115000*9*0.012,0)</f>
        <v>12420</v>
      </c>
      <c r="M295" s="325">
        <f>+L295</f>
        <v>12420</v>
      </c>
      <c r="N295" s="326">
        <v>0</v>
      </c>
      <c r="O295" s="340">
        <f t="shared" si="11"/>
        <v>12420</v>
      </c>
      <c r="P295" s="327"/>
      <c r="Q295" s="342" t="s">
        <v>1470</v>
      </c>
    </row>
    <row r="296" spans="1:17" ht="24.95" customHeight="1">
      <c r="A296" s="195"/>
      <c r="B296" s="195"/>
      <c r="C296" s="195"/>
      <c r="D296" s="196"/>
      <c r="E296" s="204"/>
      <c r="F296" s="205"/>
      <c r="G296" s="205"/>
      <c r="H296" s="473" t="s">
        <v>1357</v>
      </c>
      <c r="I296" s="473"/>
      <c r="J296" s="203"/>
      <c r="K296" s="203"/>
      <c r="L296" s="109"/>
      <c r="M296" s="325"/>
      <c r="N296" s="326"/>
      <c r="O296" s="340"/>
      <c r="P296" s="327"/>
      <c r="Q296" s="342"/>
    </row>
    <row r="297" spans="1:17" ht="24.95" customHeight="1">
      <c r="A297" s="195"/>
      <c r="B297" s="195"/>
      <c r="C297" s="195"/>
      <c r="D297" s="196"/>
      <c r="E297" s="532" t="s">
        <v>1471</v>
      </c>
      <c r="F297" s="533"/>
      <c r="G297" s="533"/>
      <c r="H297" s="533"/>
      <c r="I297" s="533"/>
      <c r="J297" s="533"/>
      <c r="K297" s="533"/>
      <c r="L297" s="109">
        <f>ROUNDDOWN(115000*7*12*50%/1000,0)</f>
        <v>4830</v>
      </c>
      <c r="M297" s="325">
        <f>+L297</f>
        <v>4830</v>
      </c>
      <c r="N297" s="326">
        <v>0</v>
      </c>
      <c r="O297" s="340">
        <f t="shared" si="11"/>
        <v>4830</v>
      </c>
      <c r="P297" s="327"/>
      <c r="Q297" s="342" t="s">
        <v>1470</v>
      </c>
    </row>
    <row r="298" spans="1:17" ht="24.95" customHeight="1">
      <c r="A298" s="195"/>
      <c r="B298" s="195"/>
      <c r="C298" s="195"/>
      <c r="D298" s="196"/>
      <c r="E298" s="204"/>
      <c r="F298" s="205"/>
      <c r="G298" s="205"/>
      <c r="H298" s="473" t="s">
        <v>1176</v>
      </c>
      <c r="I298" s="473"/>
      <c r="J298" s="203"/>
      <c r="K298" s="203"/>
      <c r="L298" s="109"/>
      <c r="M298" s="325"/>
      <c r="N298" s="326"/>
      <c r="O298" s="340"/>
      <c r="P298" s="327"/>
      <c r="Q298" s="342"/>
    </row>
    <row r="299" spans="1:17" ht="24.95" customHeight="1">
      <c r="A299" s="195"/>
      <c r="B299" s="195"/>
      <c r="C299" s="195"/>
      <c r="D299" s="196"/>
      <c r="E299" s="472"/>
      <c r="F299" s="473"/>
      <c r="G299" s="473"/>
      <c r="H299" s="473"/>
      <c r="I299" s="473"/>
      <c r="J299" s="474" t="s">
        <v>1472</v>
      </c>
      <c r="K299" s="474"/>
      <c r="L299" s="109">
        <f>ROUNDDOWN(77000*10*0.012,0)</f>
        <v>9240</v>
      </c>
      <c r="M299" s="325">
        <f>+L299</f>
        <v>9240</v>
      </c>
      <c r="N299" s="326">
        <v>0</v>
      </c>
      <c r="O299" s="340">
        <f t="shared" si="11"/>
        <v>9240</v>
      </c>
      <c r="P299" s="327"/>
      <c r="Q299" s="342" t="s">
        <v>1470</v>
      </c>
    </row>
    <row r="300" spans="1:17" ht="24.95" customHeight="1">
      <c r="A300" s="195"/>
      <c r="B300" s="195"/>
      <c r="C300" s="195"/>
      <c r="D300" s="196"/>
      <c r="E300" s="204"/>
      <c r="F300" s="205"/>
      <c r="G300" s="205"/>
      <c r="H300" s="473" t="s">
        <v>1473</v>
      </c>
      <c r="I300" s="473"/>
      <c r="J300" s="203"/>
      <c r="K300" s="203"/>
      <c r="L300" s="109"/>
      <c r="M300" s="325"/>
      <c r="N300" s="326"/>
      <c r="O300" s="340"/>
      <c r="P300" s="327"/>
      <c r="Q300" s="342"/>
    </row>
    <row r="301" spans="1:17" ht="24.95" customHeight="1">
      <c r="A301" s="195"/>
      <c r="B301" s="195"/>
      <c r="C301" s="195"/>
      <c r="D301" s="196"/>
      <c r="E301" s="532" t="s">
        <v>1474</v>
      </c>
      <c r="F301" s="533"/>
      <c r="G301" s="533"/>
      <c r="H301" s="533"/>
      <c r="I301" s="533"/>
      <c r="J301" s="533"/>
      <c r="K301" s="533"/>
      <c r="L301" s="109">
        <f>ROUNDDOWN(77000*6*12*50%/1000,0)</f>
        <v>2772</v>
      </c>
      <c r="M301" s="325">
        <f>+L301</f>
        <v>2772</v>
      </c>
      <c r="N301" s="326">
        <v>0</v>
      </c>
      <c r="O301" s="340">
        <f t="shared" si="11"/>
        <v>2772</v>
      </c>
      <c r="P301" s="327"/>
      <c r="Q301" s="342" t="s">
        <v>1470</v>
      </c>
    </row>
    <row r="302" spans="1:17" ht="24.95" customHeight="1">
      <c r="A302" s="195"/>
      <c r="B302" s="195"/>
      <c r="C302" s="195"/>
      <c r="D302" s="196"/>
      <c r="E302" s="207"/>
      <c r="F302" s="208"/>
      <c r="G302" s="208"/>
      <c r="H302" s="208"/>
      <c r="I302" s="208"/>
      <c r="J302" s="208"/>
      <c r="K302" s="208"/>
      <c r="L302" s="109"/>
      <c r="M302" s="325"/>
      <c r="N302" s="326"/>
      <c r="O302" s="340"/>
      <c r="P302" s="327"/>
      <c r="Q302" s="342"/>
    </row>
    <row r="303" spans="1:17" ht="24.95" customHeight="1">
      <c r="A303" s="195"/>
      <c r="B303" s="195"/>
      <c r="C303" s="195"/>
      <c r="D303" s="196"/>
      <c r="E303" s="491" t="s">
        <v>1177</v>
      </c>
      <c r="F303" s="492"/>
      <c r="G303" s="492"/>
      <c r="H303" s="492"/>
      <c r="I303" s="492"/>
      <c r="J303" s="492"/>
      <c r="K303" s="108"/>
      <c r="L303" s="249">
        <f>+SUM(L304:L311)</f>
        <v>7095</v>
      </c>
      <c r="M303" s="325"/>
      <c r="N303" s="326"/>
      <c r="O303" s="340"/>
      <c r="P303" s="327"/>
      <c r="Q303" s="342"/>
    </row>
    <row r="304" spans="1:17" ht="24.95" customHeight="1">
      <c r="A304" s="195"/>
      <c r="B304" s="195"/>
      <c r="C304" s="195"/>
      <c r="D304" s="196"/>
      <c r="E304" s="472" t="s">
        <v>1178</v>
      </c>
      <c r="F304" s="473"/>
      <c r="G304" s="473"/>
      <c r="H304" s="473"/>
      <c r="I304" s="473"/>
      <c r="J304" s="474"/>
      <c r="K304" s="474"/>
      <c r="L304" s="109"/>
      <c r="M304" s="325"/>
      <c r="N304" s="326"/>
      <c r="O304" s="340"/>
      <c r="P304" s="327"/>
      <c r="Q304" s="342"/>
    </row>
    <row r="305" spans="1:17" ht="24.95" customHeight="1">
      <c r="A305" s="195"/>
      <c r="B305" s="195"/>
      <c r="C305" s="195"/>
      <c r="D305" s="196"/>
      <c r="E305" s="472"/>
      <c r="F305" s="473"/>
      <c r="G305" s="473"/>
      <c r="H305" s="473"/>
      <c r="I305" s="473"/>
      <c r="J305" s="474" t="s">
        <v>1179</v>
      </c>
      <c r="K305" s="474"/>
      <c r="L305" s="109">
        <f>ROUNDDOWN(7500*8*12/1000,0)</f>
        <v>720</v>
      </c>
      <c r="M305" s="325">
        <f>+L305</f>
        <v>720</v>
      </c>
      <c r="N305" s="326">
        <v>720</v>
      </c>
      <c r="O305" s="340">
        <f t="shared" si="11"/>
        <v>0</v>
      </c>
      <c r="P305" s="327"/>
      <c r="Q305" s="342"/>
    </row>
    <row r="306" spans="1:17" ht="24.95" customHeight="1">
      <c r="A306" s="195"/>
      <c r="B306" s="195"/>
      <c r="C306" s="195"/>
      <c r="D306" s="196"/>
      <c r="E306" s="204"/>
      <c r="F306" s="205"/>
      <c r="G306" s="205"/>
      <c r="H306" s="473" t="s">
        <v>1427</v>
      </c>
      <c r="I306" s="473"/>
      <c r="J306" s="203"/>
      <c r="K306" s="203"/>
      <c r="L306" s="109"/>
      <c r="M306" s="325"/>
      <c r="N306" s="326"/>
      <c r="O306" s="340"/>
      <c r="P306" s="327"/>
      <c r="Q306" s="342"/>
    </row>
    <row r="307" spans="1:17" ht="24.95" customHeight="1">
      <c r="A307" s="195"/>
      <c r="B307" s="195"/>
      <c r="C307" s="195"/>
      <c r="D307" s="196"/>
      <c r="E307" s="532" t="s">
        <v>1475</v>
      </c>
      <c r="F307" s="533"/>
      <c r="G307" s="533"/>
      <c r="H307" s="533"/>
      <c r="I307" s="533"/>
      <c r="J307" s="533"/>
      <c r="K307" s="533"/>
      <c r="L307" s="109">
        <f>ROUNDDOWN(7500*5*12*50%/1000,0)</f>
        <v>225</v>
      </c>
      <c r="M307" s="325">
        <f>+L307</f>
        <v>225</v>
      </c>
      <c r="N307" s="326">
        <v>0</v>
      </c>
      <c r="O307" s="340">
        <f t="shared" si="11"/>
        <v>225</v>
      </c>
      <c r="P307" s="327"/>
      <c r="Q307" s="342"/>
    </row>
    <row r="308" spans="1:17" ht="24.95" customHeight="1">
      <c r="A308" s="195"/>
      <c r="B308" s="195"/>
      <c r="C308" s="195"/>
      <c r="D308" s="196"/>
      <c r="E308" s="472" t="s">
        <v>1180</v>
      </c>
      <c r="F308" s="473"/>
      <c r="G308" s="473"/>
      <c r="H308" s="473"/>
      <c r="I308" s="473"/>
      <c r="J308" s="474"/>
      <c r="K308" s="474"/>
      <c r="L308" s="109"/>
      <c r="M308" s="325"/>
      <c r="N308" s="326"/>
      <c r="O308" s="340"/>
      <c r="P308" s="327"/>
      <c r="Q308" s="342"/>
    </row>
    <row r="309" spans="1:17" ht="24.95" customHeight="1">
      <c r="A309" s="195"/>
      <c r="B309" s="195"/>
      <c r="C309" s="195"/>
      <c r="D309" s="196"/>
      <c r="E309" s="472"/>
      <c r="F309" s="473"/>
      <c r="G309" s="473"/>
      <c r="H309" s="473"/>
      <c r="I309" s="473"/>
      <c r="J309" s="474" t="s">
        <v>1181</v>
      </c>
      <c r="K309" s="474"/>
      <c r="L309" s="109">
        <f>ROUNDDOWN(5000*100*12/1000,0)</f>
        <v>6000</v>
      </c>
      <c r="M309" s="325">
        <f>+L309</f>
        <v>6000</v>
      </c>
      <c r="N309" s="326">
        <v>6000</v>
      </c>
      <c r="O309" s="340">
        <f t="shared" si="11"/>
        <v>0</v>
      </c>
      <c r="P309" s="327"/>
      <c r="Q309" s="342"/>
    </row>
    <row r="310" spans="1:17" ht="24.95" customHeight="1">
      <c r="A310" s="195"/>
      <c r="B310" s="195"/>
      <c r="C310" s="195"/>
      <c r="D310" s="196"/>
      <c r="E310" s="204"/>
      <c r="F310" s="205"/>
      <c r="G310" s="205"/>
      <c r="H310" s="473" t="s">
        <v>1427</v>
      </c>
      <c r="I310" s="473"/>
      <c r="J310" s="203"/>
      <c r="K310" s="203"/>
      <c r="L310" s="109"/>
      <c r="M310" s="325"/>
      <c r="N310" s="326"/>
      <c r="O310" s="340"/>
      <c r="P310" s="327"/>
      <c r="Q310" s="342"/>
    </row>
    <row r="311" spans="1:17" ht="24.95" customHeight="1">
      <c r="A311" s="195"/>
      <c r="B311" s="195"/>
      <c r="C311" s="195"/>
      <c r="D311" s="196"/>
      <c r="E311" s="532" t="s">
        <v>1476</v>
      </c>
      <c r="F311" s="474"/>
      <c r="G311" s="474"/>
      <c r="H311" s="474"/>
      <c r="I311" s="474"/>
      <c r="J311" s="474"/>
      <c r="K311" s="474"/>
      <c r="L311" s="109">
        <f>ROUNDDOWN(5000*5*12*50%/1000,0)</f>
        <v>150</v>
      </c>
      <c r="M311" s="325">
        <f>+L311</f>
        <v>150</v>
      </c>
      <c r="N311" s="326">
        <v>0</v>
      </c>
      <c r="O311" s="340">
        <f t="shared" si="11"/>
        <v>150</v>
      </c>
      <c r="P311" s="327"/>
      <c r="Q311" s="342"/>
    </row>
    <row r="312" spans="1:17" ht="24.95" customHeight="1">
      <c r="A312" s="195"/>
      <c r="B312" s="195"/>
      <c r="C312" s="195"/>
      <c r="D312" s="196"/>
      <c r="E312" s="491" t="s">
        <v>1182</v>
      </c>
      <c r="F312" s="492"/>
      <c r="G312" s="492"/>
      <c r="H312" s="492"/>
      <c r="I312" s="492"/>
      <c r="J312" s="492"/>
      <c r="K312" s="108"/>
      <c r="L312" s="249">
        <f>+SUM(L313:L313)</f>
        <v>36</v>
      </c>
      <c r="M312" s="325"/>
      <c r="N312" s="326"/>
      <c r="O312" s="340"/>
      <c r="P312" s="327"/>
      <c r="Q312" s="342"/>
    </row>
    <row r="313" spans="1:17" ht="24.95" customHeight="1">
      <c r="A313" s="195"/>
      <c r="B313" s="195"/>
      <c r="C313" s="195"/>
      <c r="D313" s="196"/>
      <c r="E313" s="472"/>
      <c r="F313" s="473"/>
      <c r="G313" s="473"/>
      <c r="H313" s="473"/>
      <c r="I313" s="473"/>
      <c r="J313" s="474" t="s">
        <v>1183</v>
      </c>
      <c r="K313" s="474"/>
      <c r="L313" s="109">
        <f>ROUNDDOWN(1000*3*12/1000,0)</f>
        <v>36</v>
      </c>
      <c r="M313" s="325">
        <f>+L313</f>
        <v>36</v>
      </c>
      <c r="N313" s="326">
        <v>36</v>
      </c>
      <c r="O313" s="340">
        <f t="shared" si="11"/>
        <v>0</v>
      </c>
      <c r="P313" s="327"/>
      <c r="Q313" s="342"/>
    </row>
    <row r="314" spans="1:17" ht="24.95" customHeight="1">
      <c r="A314" s="195"/>
      <c r="B314" s="195"/>
      <c r="C314" s="195"/>
      <c r="D314" s="195"/>
      <c r="E314" s="205"/>
      <c r="F314" s="205"/>
      <c r="G314" s="205"/>
      <c r="H314" s="205"/>
      <c r="I314" s="205"/>
      <c r="J314" s="203"/>
      <c r="K314" s="203"/>
      <c r="L314" s="228"/>
      <c r="M314" s="325"/>
      <c r="N314" s="326"/>
      <c r="O314" s="340"/>
      <c r="P314" s="327"/>
      <c r="Q314" s="342"/>
    </row>
    <row r="315" spans="1:17" ht="20.100000000000001" customHeight="1">
      <c r="A315" s="197"/>
      <c r="B315" s="197"/>
      <c r="C315" s="197"/>
      <c r="D315" s="197"/>
      <c r="E315" s="198"/>
      <c r="F315" s="199"/>
      <c r="G315" s="199"/>
      <c r="H315" s="199"/>
      <c r="I315" s="199"/>
      <c r="J315" s="199"/>
      <c r="K315" s="199"/>
      <c r="L315" s="199"/>
      <c r="M315" s="344"/>
      <c r="N315" s="345"/>
      <c r="O315" s="346"/>
      <c r="P315" s="335"/>
      <c r="Q315" s="347"/>
    </row>
    <row r="316" spans="1:17" ht="5.0999999999999996" customHeight="1">
      <c r="A316" s="111"/>
      <c r="B316" s="111"/>
      <c r="C316" s="111"/>
      <c r="D316" s="111"/>
      <c r="E316" s="111"/>
      <c r="F316" s="111"/>
      <c r="G316" s="111"/>
      <c r="H316" s="111"/>
      <c r="I316" s="111"/>
      <c r="J316" s="111"/>
      <c r="K316" s="111"/>
      <c r="L316" s="111"/>
      <c r="M316" s="82"/>
      <c r="N316" s="82"/>
      <c r="O316" s="82"/>
      <c r="P316" s="82"/>
      <c r="Q316" s="82"/>
    </row>
    <row r="317" spans="1:17" ht="20.100000000000001" customHeight="1">
      <c r="A317" s="111"/>
      <c r="B317" s="111"/>
      <c r="C317" s="111"/>
      <c r="D317" s="111"/>
      <c r="E317" s="111"/>
      <c r="F317" s="111"/>
      <c r="G317" s="111"/>
      <c r="H317" s="111"/>
      <c r="I317" s="111"/>
      <c r="J317" s="111"/>
      <c r="K317" s="111"/>
      <c r="L317" s="111"/>
      <c r="M317" s="82"/>
      <c r="N317" s="82"/>
      <c r="O317" s="82"/>
      <c r="P317" s="82"/>
      <c r="Q317" s="82"/>
    </row>
    <row r="318" spans="1:17" ht="20.100000000000001" customHeight="1">
      <c r="A318" s="111"/>
      <c r="B318" s="111"/>
      <c r="C318" s="111"/>
      <c r="D318" s="111"/>
      <c r="E318" s="111"/>
      <c r="F318" s="111"/>
      <c r="G318" s="111"/>
      <c r="H318" s="111"/>
      <c r="I318" s="111"/>
      <c r="J318" s="111"/>
      <c r="K318" s="111"/>
      <c r="L318" s="111"/>
      <c r="M318" s="82"/>
      <c r="N318" s="82"/>
      <c r="O318" s="82"/>
      <c r="P318" s="82"/>
      <c r="Q318" s="82"/>
    </row>
    <row r="319" spans="1:17" ht="20.100000000000001" customHeight="1">
      <c r="A319" s="111"/>
      <c r="B319" s="111"/>
      <c r="C319" s="111"/>
      <c r="D319" s="111"/>
      <c r="E319" s="111"/>
      <c r="F319" s="111"/>
      <c r="G319" s="111"/>
      <c r="H319" s="111"/>
      <c r="I319" s="111"/>
      <c r="J319" s="111"/>
      <c r="K319" s="111"/>
      <c r="L319" s="111"/>
      <c r="M319" s="82"/>
      <c r="N319" s="82"/>
      <c r="O319" s="82"/>
      <c r="P319" s="82"/>
      <c r="Q319" s="82"/>
    </row>
    <row r="320" spans="1:17" ht="20.100000000000001" customHeight="1">
      <c r="A320" s="111"/>
      <c r="B320" s="111"/>
      <c r="C320" s="111"/>
      <c r="D320" s="111"/>
      <c r="E320" s="111"/>
      <c r="F320" s="111"/>
      <c r="G320" s="111"/>
      <c r="H320" s="111"/>
      <c r="I320" s="111"/>
      <c r="J320" s="111"/>
      <c r="K320" s="111"/>
      <c r="L320" s="111"/>
      <c r="M320" s="82"/>
      <c r="N320" s="82"/>
      <c r="O320" s="82"/>
      <c r="P320" s="82"/>
      <c r="Q320" s="82"/>
    </row>
    <row r="321" spans="1:17" ht="20.100000000000001" customHeight="1">
      <c r="A321" s="111"/>
      <c r="B321" s="111"/>
      <c r="C321" s="111"/>
      <c r="D321" s="111"/>
      <c r="E321" s="111"/>
      <c r="F321" s="111"/>
      <c r="G321" s="111"/>
      <c r="H321" s="111"/>
      <c r="I321" s="111"/>
      <c r="J321" s="111"/>
      <c r="K321" s="111"/>
      <c r="L321" s="111"/>
      <c r="M321" s="82"/>
      <c r="N321" s="82"/>
      <c r="O321" s="82"/>
      <c r="P321" s="82"/>
      <c r="Q321" s="82"/>
    </row>
    <row r="322" spans="1:17" ht="20.100000000000001" customHeight="1">
      <c r="A322" s="111"/>
      <c r="B322" s="111"/>
      <c r="C322" s="111"/>
      <c r="D322" s="111"/>
      <c r="E322" s="111"/>
      <c r="F322" s="111"/>
      <c r="G322" s="111"/>
      <c r="H322" s="111"/>
      <c r="I322" s="111"/>
      <c r="J322" s="111"/>
      <c r="K322" s="111"/>
      <c r="L322" s="111"/>
      <c r="M322" s="82"/>
      <c r="N322" s="82"/>
      <c r="O322" s="82"/>
      <c r="P322" s="82"/>
      <c r="Q322" s="82"/>
    </row>
    <row r="323" spans="1:17" ht="20.100000000000001" customHeight="1">
      <c r="A323" s="111"/>
      <c r="B323" s="111"/>
      <c r="C323" s="111"/>
      <c r="D323" s="111"/>
      <c r="E323" s="111"/>
      <c r="F323" s="111"/>
      <c r="G323" s="111"/>
      <c r="H323" s="111"/>
      <c r="I323" s="111"/>
      <c r="J323" s="111"/>
      <c r="K323" s="111"/>
      <c r="L323" s="111"/>
      <c r="M323" s="82"/>
      <c r="N323" s="82"/>
      <c r="O323" s="82"/>
      <c r="P323" s="82"/>
      <c r="Q323" s="82"/>
    </row>
    <row r="324" spans="1:17" ht="20.100000000000001" customHeight="1">
      <c r="A324" s="111"/>
      <c r="B324" s="111"/>
      <c r="C324" s="111"/>
      <c r="D324" s="111"/>
      <c r="E324" s="111"/>
      <c r="F324" s="111"/>
      <c r="G324" s="111"/>
      <c r="H324" s="111"/>
      <c r="I324" s="111"/>
      <c r="J324" s="111"/>
      <c r="K324" s="111"/>
      <c r="L324" s="111"/>
      <c r="M324" s="82"/>
      <c r="N324" s="82"/>
      <c r="O324" s="82"/>
      <c r="P324" s="82"/>
      <c r="Q324" s="82"/>
    </row>
    <row r="325" spans="1:17" ht="20.100000000000001" customHeight="1">
      <c r="A325" s="111"/>
      <c r="B325" s="111"/>
      <c r="C325" s="111"/>
      <c r="D325" s="111"/>
      <c r="E325" s="111"/>
      <c r="F325" s="111"/>
      <c r="G325" s="111"/>
      <c r="H325" s="111"/>
      <c r="I325" s="111"/>
      <c r="J325" s="111"/>
      <c r="K325" s="111"/>
      <c r="L325" s="111"/>
      <c r="M325" s="82"/>
      <c r="N325" s="82"/>
      <c r="O325" s="82"/>
      <c r="P325" s="82"/>
      <c r="Q325" s="82"/>
    </row>
    <row r="326" spans="1:17" ht="20.100000000000001" customHeight="1">
      <c r="A326" s="111"/>
      <c r="B326" s="111"/>
      <c r="C326" s="111"/>
      <c r="D326" s="111"/>
      <c r="E326" s="111"/>
      <c r="F326" s="111"/>
      <c r="G326" s="111"/>
      <c r="H326" s="111"/>
      <c r="I326" s="111"/>
      <c r="J326" s="111"/>
      <c r="K326" s="111"/>
      <c r="L326" s="111"/>
      <c r="M326" s="82"/>
      <c r="N326" s="82"/>
      <c r="O326" s="82"/>
      <c r="P326" s="82"/>
      <c r="Q326" s="82"/>
    </row>
    <row r="327" spans="1:17" ht="20.100000000000001" customHeight="1">
      <c r="A327" s="111"/>
      <c r="B327" s="111"/>
      <c r="C327" s="111"/>
      <c r="D327" s="111"/>
      <c r="E327" s="111"/>
      <c r="F327" s="111"/>
      <c r="G327" s="111"/>
      <c r="H327" s="111"/>
      <c r="I327" s="111"/>
      <c r="J327" s="111"/>
      <c r="K327" s="111"/>
      <c r="L327" s="111"/>
      <c r="M327" s="82"/>
      <c r="N327" s="82"/>
      <c r="O327" s="82"/>
      <c r="P327" s="82"/>
      <c r="Q327" s="82"/>
    </row>
    <row r="328" spans="1:17" ht="20.100000000000001" customHeight="1">
      <c r="A328" s="111"/>
      <c r="B328" s="111"/>
      <c r="C328" s="111"/>
      <c r="D328" s="111"/>
      <c r="E328" s="111"/>
      <c r="F328" s="111"/>
      <c r="G328" s="111"/>
      <c r="H328" s="111"/>
      <c r="I328" s="111"/>
      <c r="J328" s="111"/>
      <c r="K328" s="111"/>
      <c r="L328" s="111"/>
      <c r="M328" s="82"/>
      <c r="N328" s="82"/>
      <c r="O328" s="82"/>
      <c r="P328" s="82"/>
      <c r="Q328" s="82"/>
    </row>
    <row r="329" spans="1:17" ht="20.100000000000001" customHeight="1">
      <c r="A329" s="111"/>
      <c r="B329" s="111"/>
      <c r="C329" s="111"/>
      <c r="D329" s="111"/>
      <c r="E329" s="111"/>
      <c r="F329" s="111"/>
      <c r="G329" s="111"/>
      <c r="H329" s="111"/>
      <c r="I329" s="111"/>
      <c r="J329" s="111"/>
      <c r="K329" s="111"/>
      <c r="L329" s="111"/>
      <c r="M329" s="82"/>
      <c r="N329" s="82"/>
      <c r="O329" s="82"/>
      <c r="P329" s="82"/>
      <c r="Q329" s="82"/>
    </row>
    <row r="330" spans="1:17" ht="20.100000000000001" customHeight="1">
      <c r="A330" s="111"/>
      <c r="B330" s="111"/>
      <c r="C330" s="111"/>
      <c r="D330" s="111"/>
      <c r="E330" s="111"/>
      <c r="F330" s="111"/>
      <c r="G330" s="111"/>
      <c r="H330" s="111"/>
      <c r="I330" s="111"/>
      <c r="J330" s="111"/>
      <c r="K330" s="111"/>
      <c r="L330" s="111"/>
      <c r="M330" s="82"/>
      <c r="N330" s="82"/>
      <c r="O330" s="82"/>
      <c r="P330" s="82"/>
      <c r="Q330" s="82"/>
    </row>
    <row r="331" spans="1:17" ht="20.100000000000001" customHeight="1">
      <c r="A331" s="111"/>
      <c r="B331" s="111"/>
      <c r="C331" s="111"/>
      <c r="D331" s="111"/>
      <c r="E331" s="111"/>
      <c r="F331" s="111"/>
      <c r="G331" s="111"/>
      <c r="H331" s="111"/>
      <c r="I331" s="111"/>
      <c r="J331" s="111"/>
      <c r="K331" s="111"/>
      <c r="L331" s="111"/>
      <c r="M331" s="82"/>
      <c r="N331" s="82"/>
      <c r="O331" s="82"/>
      <c r="P331" s="82"/>
      <c r="Q331" s="82"/>
    </row>
    <row r="332" spans="1:17" ht="20.100000000000001" customHeight="1">
      <c r="A332" s="111"/>
      <c r="B332" s="111"/>
      <c r="C332" s="111"/>
      <c r="D332" s="111"/>
      <c r="E332" s="111"/>
      <c r="F332" s="111"/>
      <c r="G332" s="111"/>
      <c r="H332" s="111"/>
      <c r="I332" s="111"/>
      <c r="J332" s="111"/>
      <c r="K332" s="111"/>
      <c r="L332" s="111"/>
      <c r="M332" s="82"/>
      <c r="N332" s="82"/>
      <c r="O332" s="82"/>
      <c r="P332" s="82"/>
      <c r="Q332" s="82"/>
    </row>
    <row r="333" spans="1:17" ht="20.100000000000001" customHeight="1">
      <c r="A333" s="111"/>
      <c r="B333" s="111"/>
      <c r="C333" s="111"/>
      <c r="D333" s="111"/>
      <c r="E333" s="111"/>
      <c r="F333" s="111"/>
      <c r="G333" s="111"/>
      <c r="H333" s="111"/>
      <c r="I333" s="111"/>
      <c r="J333" s="111"/>
      <c r="K333" s="111"/>
      <c r="L333" s="111"/>
      <c r="M333" s="82"/>
      <c r="N333" s="82"/>
      <c r="O333" s="82"/>
      <c r="P333" s="82"/>
      <c r="Q333" s="82"/>
    </row>
    <row r="334" spans="1:17" ht="20.100000000000001" customHeight="1">
      <c r="A334" s="111"/>
      <c r="B334" s="111"/>
      <c r="C334" s="111"/>
      <c r="D334" s="111"/>
      <c r="E334" s="111"/>
      <c r="F334" s="111"/>
      <c r="G334" s="111"/>
      <c r="H334" s="111"/>
      <c r="I334" s="111"/>
      <c r="J334" s="111"/>
      <c r="K334" s="111"/>
      <c r="L334" s="111"/>
      <c r="M334" s="82"/>
      <c r="N334" s="82"/>
      <c r="O334" s="82"/>
      <c r="P334" s="82"/>
      <c r="Q334" s="82"/>
    </row>
    <row r="335" spans="1:17" ht="20.100000000000001" customHeight="1">
      <c r="A335" s="111"/>
      <c r="B335" s="111"/>
      <c r="C335" s="111"/>
      <c r="D335" s="111"/>
      <c r="E335" s="111"/>
      <c r="F335" s="111"/>
      <c r="G335" s="111"/>
      <c r="H335" s="111"/>
      <c r="I335" s="111"/>
      <c r="J335" s="111"/>
      <c r="K335" s="111"/>
      <c r="L335" s="111"/>
      <c r="M335" s="82"/>
      <c r="N335" s="82"/>
      <c r="O335" s="82"/>
      <c r="P335" s="82"/>
      <c r="Q335" s="82"/>
    </row>
    <row r="336" spans="1:17" ht="20.100000000000001" customHeight="1">
      <c r="A336" s="111"/>
      <c r="B336" s="111"/>
      <c r="C336" s="111"/>
      <c r="D336" s="111"/>
      <c r="E336" s="111"/>
      <c r="F336" s="111"/>
      <c r="G336" s="111"/>
      <c r="H336" s="111"/>
      <c r="I336" s="111"/>
      <c r="J336" s="111"/>
      <c r="K336" s="111"/>
      <c r="L336" s="111"/>
      <c r="M336" s="82"/>
      <c r="N336" s="82"/>
      <c r="O336" s="82"/>
      <c r="P336" s="82"/>
      <c r="Q336" s="82"/>
    </row>
    <row r="337" spans="1:17" ht="20.100000000000001" customHeight="1">
      <c r="A337" s="111"/>
      <c r="B337" s="111"/>
      <c r="C337" s="111"/>
      <c r="D337" s="111"/>
      <c r="E337" s="111"/>
      <c r="F337" s="111"/>
      <c r="G337" s="111"/>
      <c r="H337" s="111"/>
      <c r="I337" s="111"/>
      <c r="J337" s="111"/>
      <c r="K337" s="111"/>
      <c r="L337" s="111"/>
      <c r="M337" s="82"/>
      <c r="N337" s="82"/>
      <c r="O337" s="82"/>
      <c r="P337" s="82"/>
      <c r="Q337" s="82"/>
    </row>
    <row r="338" spans="1:17" ht="20.100000000000001" customHeight="1">
      <c r="A338" s="111"/>
      <c r="B338" s="111"/>
      <c r="C338" s="111"/>
      <c r="D338" s="111"/>
      <c r="E338" s="111"/>
      <c r="F338" s="111"/>
      <c r="G338" s="111"/>
      <c r="H338" s="111"/>
      <c r="I338" s="111"/>
      <c r="J338" s="111"/>
      <c r="K338" s="111"/>
      <c r="L338" s="111"/>
      <c r="M338" s="82"/>
      <c r="N338" s="82"/>
      <c r="O338" s="82"/>
      <c r="P338" s="82"/>
      <c r="Q338" s="82"/>
    </row>
    <row r="339" spans="1:17" ht="20.100000000000001" customHeight="1">
      <c r="A339" s="111"/>
      <c r="B339" s="111"/>
      <c r="C339" s="111"/>
      <c r="D339" s="111"/>
      <c r="E339" s="111"/>
      <c r="F339" s="111"/>
      <c r="G339" s="111"/>
      <c r="H339" s="111"/>
      <c r="I339" s="111"/>
      <c r="J339" s="111"/>
      <c r="K339" s="111"/>
      <c r="L339" s="111"/>
      <c r="M339" s="82"/>
      <c r="N339" s="82"/>
      <c r="O339" s="82"/>
      <c r="P339" s="82"/>
      <c r="Q339" s="82"/>
    </row>
    <row r="340" spans="1:17" ht="20.100000000000001" customHeight="1">
      <c r="A340" s="111"/>
      <c r="B340" s="111"/>
      <c r="C340" s="111"/>
      <c r="D340" s="111"/>
      <c r="E340" s="111"/>
      <c r="F340" s="111"/>
      <c r="G340" s="111"/>
      <c r="H340" s="111"/>
      <c r="I340" s="111"/>
      <c r="J340" s="111"/>
      <c r="K340" s="111"/>
      <c r="L340" s="111"/>
      <c r="M340" s="82"/>
      <c r="N340" s="82"/>
      <c r="O340" s="82"/>
      <c r="P340" s="82"/>
      <c r="Q340" s="82"/>
    </row>
    <row r="341" spans="1:17" ht="20.100000000000001" customHeight="1">
      <c r="A341" s="111"/>
      <c r="B341" s="111"/>
      <c r="C341" s="111"/>
      <c r="D341" s="111"/>
      <c r="E341" s="111"/>
      <c r="F341" s="111"/>
      <c r="G341" s="111"/>
      <c r="H341" s="111"/>
      <c r="I341" s="111"/>
      <c r="J341" s="111"/>
      <c r="K341" s="111"/>
      <c r="L341" s="111"/>
      <c r="M341" s="82"/>
      <c r="N341" s="82"/>
      <c r="O341" s="82"/>
      <c r="P341" s="82"/>
      <c r="Q341" s="82"/>
    </row>
    <row r="342" spans="1:17" ht="20.100000000000001" customHeight="1">
      <c r="A342" s="111"/>
      <c r="B342" s="111"/>
      <c r="C342" s="111"/>
      <c r="D342" s="111"/>
      <c r="E342" s="111"/>
      <c r="F342" s="111"/>
      <c r="G342" s="111"/>
      <c r="H342" s="111"/>
      <c r="I342" s="111"/>
      <c r="J342" s="111"/>
      <c r="K342" s="111"/>
      <c r="L342" s="111"/>
      <c r="M342" s="82"/>
      <c r="N342" s="82"/>
      <c r="O342" s="82"/>
      <c r="P342" s="82"/>
      <c r="Q342" s="82"/>
    </row>
    <row r="343" spans="1:17" ht="20.100000000000001" customHeight="1">
      <c r="A343" s="111"/>
      <c r="B343" s="111"/>
      <c r="C343" s="111"/>
      <c r="D343" s="111"/>
      <c r="E343" s="111"/>
      <c r="F343" s="111"/>
      <c r="G343" s="111"/>
      <c r="H343" s="111"/>
      <c r="I343" s="111"/>
      <c r="J343" s="111"/>
      <c r="K343" s="111"/>
      <c r="L343" s="111"/>
      <c r="M343" s="82"/>
      <c r="N343" s="82"/>
      <c r="O343" s="82"/>
      <c r="P343" s="82"/>
      <c r="Q343" s="82"/>
    </row>
    <row r="344" spans="1:17" ht="20.100000000000001" customHeight="1">
      <c r="A344" s="111"/>
      <c r="B344" s="111"/>
      <c r="C344" s="111"/>
      <c r="D344" s="111"/>
      <c r="E344" s="111"/>
      <c r="F344" s="111"/>
      <c r="G344" s="111"/>
      <c r="H344" s="111"/>
      <c r="I344" s="111"/>
      <c r="J344" s="111"/>
      <c r="K344" s="111"/>
      <c r="L344" s="111"/>
      <c r="M344" s="82"/>
      <c r="N344" s="82"/>
      <c r="O344" s="82"/>
      <c r="P344" s="82"/>
      <c r="Q344" s="82"/>
    </row>
    <row r="345" spans="1:17" ht="20.100000000000001" customHeight="1">
      <c r="A345" s="111"/>
      <c r="B345" s="111"/>
      <c r="C345" s="111"/>
      <c r="D345" s="111"/>
      <c r="E345" s="111"/>
      <c r="F345" s="111"/>
      <c r="G345" s="111"/>
      <c r="H345" s="111"/>
      <c r="I345" s="111"/>
      <c r="J345" s="111"/>
      <c r="K345" s="111"/>
      <c r="L345" s="111"/>
      <c r="M345" s="82"/>
      <c r="N345" s="82"/>
      <c r="O345" s="82"/>
      <c r="P345" s="82"/>
      <c r="Q345" s="82"/>
    </row>
    <row r="346" spans="1:17" ht="20.100000000000001" customHeight="1">
      <c r="A346" s="111"/>
      <c r="B346" s="111"/>
      <c r="C346" s="111"/>
      <c r="D346" s="111"/>
      <c r="E346" s="111"/>
      <c r="F346" s="111"/>
      <c r="G346" s="111"/>
      <c r="H346" s="111"/>
      <c r="I346" s="111"/>
      <c r="J346" s="111"/>
      <c r="K346" s="111"/>
      <c r="L346" s="111"/>
      <c r="M346" s="82"/>
      <c r="N346" s="82"/>
      <c r="O346" s="82"/>
      <c r="P346" s="82"/>
      <c r="Q346" s="82"/>
    </row>
    <row r="347" spans="1:17" ht="20.100000000000001" customHeight="1">
      <c r="A347" s="111"/>
      <c r="B347" s="111"/>
      <c r="C347" s="111"/>
      <c r="D347" s="111"/>
      <c r="E347" s="111"/>
      <c r="F347" s="111"/>
      <c r="G347" s="111"/>
      <c r="H347" s="111"/>
      <c r="I347" s="111"/>
      <c r="J347" s="111"/>
      <c r="K347" s="111"/>
      <c r="L347" s="111"/>
      <c r="M347" s="82"/>
      <c r="N347" s="82"/>
      <c r="O347" s="82"/>
      <c r="P347" s="82"/>
      <c r="Q347" s="82"/>
    </row>
    <row r="348" spans="1:17" ht="20.100000000000001" customHeight="1">
      <c r="A348" s="111"/>
      <c r="B348" s="111"/>
      <c r="C348" s="111"/>
      <c r="D348" s="111"/>
      <c r="E348" s="111"/>
      <c r="F348" s="111"/>
      <c r="G348" s="111"/>
      <c r="H348" s="111"/>
      <c r="I348" s="111"/>
      <c r="J348" s="111"/>
      <c r="K348" s="111"/>
      <c r="L348" s="111"/>
      <c r="M348" s="82"/>
      <c r="N348" s="82"/>
      <c r="O348" s="82"/>
      <c r="P348" s="82"/>
      <c r="Q348" s="82"/>
    </row>
    <row r="349" spans="1:17" ht="20.100000000000001" customHeight="1">
      <c r="A349" s="111"/>
      <c r="B349" s="111"/>
      <c r="C349" s="111"/>
      <c r="D349" s="111"/>
      <c r="E349" s="111"/>
      <c r="F349" s="111"/>
      <c r="G349" s="111"/>
      <c r="H349" s="111"/>
      <c r="I349" s="111"/>
      <c r="J349" s="111"/>
      <c r="K349" s="111"/>
      <c r="L349" s="111"/>
      <c r="M349" s="82"/>
      <c r="N349" s="82"/>
      <c r="O349" s="82"/>
      <c r="P349" s="82"/>
      <c r="Q349" s="82"/>
    </row>
    <row r="350" spans="1:17" ht="20.100000000000001" customHeight="1">
      <c r="A350" s="111"/>
      <c r="B350" s="111"/>
      <c r="C350" s="111"/>
      <c r="D350" s="111"/>
      <c r="E350" s="111"/>
      <c r="F350" s="111"/>
      <c r="G350" s="111"/>
      <c r="H350" s="111"/>
      <c r="I350" s="111"/>
      <c r="J350" s="111"/>
      <c r="K350" s="111"/>
      <c r="L350" s="111"/>
      <c r="M350" s="82"/>
      <c r="N350" s="82"/>
      <c r="O350" s="82"/>
      <c r="P350" s="82"/>
      <c r="Q350" s="82"/>
    </row>
    <row r="351" spans="1:17" ht="20.100000000000001" customHeight="1">
      <c r="A351" s="111"/>
      <c r="B351" s="111"/>
      <c r="C351" s="111"/>
      <c r="D351" s="111"/>
      <c r="E351" s="111"/>
      <c r="F351" s="111"/>
      <c r="G351" s="111"/>
      <c r="H351" s="111"/>
      <c r="I351" s="111"/>
      <c r="J351" s="111"/>
      <c r="K351" s="111"/>
      <c r="L351" s="111"/>
      <c r="M351" s="82"/>
      <c r="N351" s="82"/>
      <c r="O351" s="82"/>
      <c r="P351" s="82"/>
      <c r="Q351" s="82"/>
    </row>
    <row r="352" spans="1:17" ht="20.100000000000001" customHeight="1">
      <c r="A352" s="111"/>
      <c r="B352" s="111"/>
      <c r="C352" s="111"/>
      <c r="D352" s="111"/>
      <c r="E352" s="111"/>
      <c r="F352" s="111"/>
      <c r="G352" s="111"/>
      <c r="H352" s="111"/>
      <c r="I352" s="111"/>
      <c r="J352" s="111"/>
      <c r="K352" s="111"/>
      <c r="L352" s="111"/>
      <c r="M352" s="82"/>
      <c r="N352" s="82"/>
      <c r="O352" s="82"/>
      <c r="P352" s="82"/>
      <c r="Q352" s="82"/>
    </row>
    <row r="353" spans="1:17" ht="20.100000000000001" customHeight="1">
      <c r="A353" s="111"/>
      <c r="B353" s="111"/>
      <c r="C353" s="111"/>
      <c r="D353" s="111"/>
      <c r="E353" s="111"/>
      <c r="F353" s="111"/>
      <c r="G353" s="111"/>
      <c r="H353" s="111"/>
      <c r="I353" s="111"/>
      <c r="J353" s="111"/>
      <c r="K353" s="111"/>
      <c r="L353" s="111"/>
      <c r="M353" s="82"/>
      <c r="N353" s="82"/>
      <c r="O353" s="82"/>
      <c r="P353" s="82"/>
      <c r="Q353" s="82"/>
    </row>
    <row r="354" spans="1:17" ht="20.100000000000001" customHeight="1">
      <c r="A354" s="111"/>
      <c r="B354" s="111"/>
      <c r="C354" s="111"/>
      <c r="D354" s="111"/>
      <c r="E354" s="111"/>
      <c r="F354" s="111"/>
      <c r="G354" s="111"/>
      <c r="H354" s="111"/>
      <c r="I354" s="111"/>
      <c r="J354" s="111"/>
      <c r="K354" s="111"/>
      <c r="L354" s="111"/>
      <c r="M354" s="82"/>
      <c r="N354" s="82"/>
      <c r="O354" s="82"/>
      <c r="P354" s="82"/>
      <c r="Q354" s="82"/>
    </row>
    <row r="355" spans="1:17" ht="20.100000000000001" customHeight="1">
      <c r="A355" s="111"/>
      <c r="B355" s="111"/>
      <c r="C355" s="111"/>
      <c r="D355" s="111"/>
      <c r="E355" s="111"/>
      <c r="F355" s="111"/>
      <c r="G355" s="111"/>
      <c r="H355" s="111"/>
      <c r="I355" s="111"/>
      <c r="J355" s="111"/>
      <c r="K355" s="111"/>
      <c r="L355" s="111"/>
      <c r="M355" s="82"/>
      <c r="N355" s="82"/>
      <c r="O355" s="82"/>
      <c r="P355" s="82"/>
      <c r="Q355" s="82"/>
    </row>
    <row r="356" spans="1:17" ht="20.100000000000001" customHeight="1">
      <c r="A356" s="111"/>
      <c r="B356" s="111"/>
      <c r="C356" s="111"/>
      <c r="D356" s="111"/>
      <c r="E356" s="111"/>
      <c r="F356" s="111"/>
      <c r="G356" s="111"/>
      <c r="H356" s="111"/>
      <c r="I356" s="111"/>
      <c r="J356" s="111"/>
      <c r="K356" s="111"/>
      <c r="L356" s="111"/>
      <c r="M356" s="82"/>
      <c r="N356" s="82"/>
      <c r="O356" s="82"/>
      <c r="P356" s="82"/>
      <c r="Q356" s="82"/>
    </row>
    <row r="357" spans="1:17" ht="20.100000000000001" customHeight="1">
      <c r="A357" s="111"/>
      <c r="B357" s="111"/>
      <c r="C357" s="111"/>
      <c r="D357" s="111"/>
      <c r="E357" s="111"/>
      <c r="F357" s="111"/>
      <c r="G357" s="111"/>
      <c r="H357" s="111"/>
      <c r="I357" s="111"/>
      <c r="J357" s="111"/>
      <c r="K357" s="111"/>
      <c r="L357" s="111"/>
      <c r="M357" s="82"/>
      <c r="N357" s="82"/>
      <c r="O357" s="82"/>
      <c r="P357" s="82"/>
      <c r="Q357" s="82"/>
    </row>
    <row r="358" spans="1:17" ht="20.100000000000001" customHeight="1">
      <c r="A358" s="111"/>
      <c r="B358" s="111"/>
      <c r="C358" s="111"/>
      <c r="D358" s="111"/>
      <c r="E358" s="111"/>
      <c r="F358" s="111"/>
      <c r="G358" s="111"/>
      <c r="H358" s="111"/>
      <c r="I358" s="111"/>
      <c r="J358" s="111"/>
      <c r="K358" s="111"/>
      <c r="L358" s="111"/>
      <c r="M358" s="82"/>
      <c r="N358" s="82"/>
      <c r="O358" s="82"/>
      <c r="P358" s="82"/>
      <c r="Q358" s="82"/>
    </row>
    <row r="359" spans="1:17" ht="20.100000000000001" customHeight="1">
      <c r="A359" s="111"/>
      <c r="B359" s="111"/>
      <c r="C359" s="111"/>
      <c r="D359" s="111"/>
      <c r="E359" s="111"/>
      <c r="F359" s="111"/>
      <c r="G359" s="111"/>
      <c r="H359" s="111"/>
      <c r="I359" s="111"/>
      <c r="J359" s="111"/>
      <c r="K359" s="111"/>
      <c r="L359" s="111"/>
      <c r="M359" s="82"/>
      <c r="N359" s="82"/>
      <c r="O359" s="82"/>
      <c r="P359" s="82"/>
      <c r="Q359" s="82"/>
    </row>
    <row r="360" spans="1:17" ht="20.100000000000001" customHeight="1">
      <c r="A360" s="111"/>
      <c r="B360" s="111"/>
      <c r="C360" s="111"/>
      <c r="D360" s="111"/>
      <c r="E360" s="111"/>
      <c r="F360" s="111"/>
      <c r="G360" s="111"/>
      <c r="H360" s="111"/>
      <c r="I360" s="111"/>
      <c r="J360" s="111"/>
      <c r="K360" s="111"/>
      <c r="L360" s="111"/>
      <c r="M360" s="82"/>
      <c r="N360" s="82"/>
      <c r="O360" s="82"/>
      <c r="P360" s="82"/>
      <c r="Q360" s="82"/>
    </row>
    <row r="361" spans="1:17" ht="20.100000000000001" customHeight="1">
      <c r="A361" s="111"/>
      <c r="B361" s="111"/>
      <c r="C361" s="111"/>
      <c r="D361" s="111"/>
      <c r="E361" s="111"/>
      <c r="F361" s="111"/>
      <c r="G361" s="111"/>
      <c r="H361" s="111"/>
      <c r="I361" s="111"/>
      <c r="J361" s="111"/>
      <c r="K361" s="111"/>
      <c r="L361" s="111"/>
      <c r="M361" s="82"/>
      <c r="N361" s="82"/>
      <c r="O361" s="82"/>
      <c r="P361" s="82"/>
      <c r="Q361" s="82"/>
    </row>
    <row r="362" spans="1:17" ht="20.100000000000001" customHeight="1">
      <c r="A362" s="111"/>
      <c r="B362" s="111"/>
      <c r="C362" s="111"/>
      <c r="D362" s="111"/>
      <c r="E362" s="111"/>
      <c r="F362" s="111"/>
      <c r="G362" s="111"/>
      <c r="H362" s="111"/>
      <c r="I362" s="111"/>
      <c r="J362" s="111"/>
      <c r="K362" s="111"/>
      <c r="L362" s="111"/>
      <c r="M362" s="82"/>
      <c r="N362" s="82"/>
      <c r="O362" s="82"/>
      <c r="P362" s="82"/>
      <c r="Q362" s="82"/>
    </row>
    <row r="363" spans="1:17" ht="20.100000000000001" customHeight="1">
      <c r="A363" s="111"/>
      <c r="B363" s="111"/>
      <c r="C363" s="111"/>
      <c r="D363" s="111"/>
      <c r="E363" s="111"/>
      <c r="F363" s="111"/>
      <c r="G363" s="111"/>
      <c r="H363" s="111"/>
      <c r="I363" s="111"/>
      <c r="J363" s="111"/>
      <c r="K363" s="111"/>
      <c r="L363" s="111"/>
      <c r="M363" s="82"/>
      <c r="N363" s="82"/>
      <c r="O363" s="82"/>
      <c r="P363" s="82"/>
      <c r="Q363" s="82"/>
    </row>
    <row r="364" spans="1:17" ht="20.100000000000001" customHeight="1">
      <c r="A364" s="111"/>
      <c r="B364" s="111"/>
      <c r="C364" s="111"/>
      <c r="D364" s="111"/>
      <c r="E364" s="111"/>
      <c r="F364" s="111"/>
      <c r="G364" s="111"/>
      <c r="H364" s="111"/>
      <c r="I364" s="111"/>
      <c r="J364" s="111"/>
      <c r="K364" s="111"/>
      <c r="L364" s="111"/>
      <c r="M364" s="82"/>
      <c r="N364" s="82"/>
      <c r="O364" s="82"/>
      <c r="P364" s="82"/>
      <c r="Q364" s="82"/>
    </row>
    <row r="365" spans="1:17" ht="20.100000000000001" customHeight="1">
      <c r="A365" s="111"/>
      <c r="B365" s="111"/>
      <c r="C365" s="111"/>
      <c r="D365" s="111"/>
      <c r="E365" s="111"/>
      <c r="F365" s="111"/>
      <c r="G365" s="111"/>
      <c r="H365" s="111"/>
      <c r="I365" s="111"/>
      <c r="J365" s="111"/>
      <c r="K365" s="111"/>
      <c r="L365" s="111"/>
      <c r="M365" s="82"/>
      <c r="N365" s="82"/>
      <c r="O365" s="82"/>
      <c r="P365" s="82"/>
      <c r="Q365" s="82"/>
    </row>
    <row r="366" spans="1:17" ht="20.100000000000001" customHeight="1">
      <c r="A366" s="111"/>
      <c r="B366" s="111"/>
      <c r="C366" s="111"/>
      <c r="D366" s="111"/>
      <c r="E366" s="111"/>
      <c r="F366" s="111"/>
      <c r="G366" s="111"/>
      <c r="H366" s="111"/>
      <c r="I366" s="111"/>
      <c r="J366" s="111"/>
      <c r="K366" s="111"/>
      <c r="L366" s="111"/>
      <c r="M366" s="82"/>
      <c r="N366" s="82"/>
      <c r="O366" s="82"/>
      <c r="P366" s="82"/>
      <c r="Q366" s="82"/>
    </row>
    <row r="367" spans="1:17" ht="20.100000000000001" customHeight="1">
      <c r="A367" s="111"/>
      <c r="B367" s="111"/>
      <c r="C367" s="111"/>
      <c r="D367" s="111"/>
      <c r="E367" s="111"/>
      <c r="F367" s="111"/>
      <c r="G367" s="111"/>
      <c r="H367" s="111"/>
      <c r="I367" s="111"/>
      <c r="J367" s="111"/>
      <c r="K367" s="111"/>
      <c r="L367" s="111"/>
      <c r="M367" s="82"/>
      <c r="N367" s="82"/>
      <c r="O367" s="82"/>
      <c r="P367" s="82"/>
      <c r="Q367" s="82"/>
    </row>
    <row r="368" spans="1:17" ht="20.100000000000001" customHeight="1">
      <c r="A368" s="111"/>
      <c r="B368" s="111"/>
      <c r="C368" s="111"/>
      <c r="D368" s="111"/>
      <c r="E368" s="111"/>
      <c r="F368" s="111"/>
      <c r="G368" s="111"/>
      <c r="H368" s="111"/>
      <c r="I368" s="111"/>
      <c r="J368" s="111"/>
      <c r="K368" s="111"/>
      <c r="L368" s="111"/>
      <c r="M368" s="82"/>
      <c r="N368" s="82"/>
      <c r="O368" s="82"/>
      <c r="P368" s="82"/>
      <c r="Q368" s="82"/>
    </row>
    <row r="369" spans="1:17" ht="20.100000000000001" customHeight="1">
      <c r="A369" s="111"/>
      <c r="B369" s="111"/>
      <c r="C369" s="111"/>
      <c r="D369" s="111"/>
      <c r="E369" s="111"/>
      <c r="F369" s="111"/>
      <c r="G369" s="111"/>
      <c r="H369" s="111"/>
      <c r="I369" s="111"/>
      <c r="J369" s="111"/>
      <c r="K369" s="111"/>
      <c r="L369" s="111"/>
      <c r="M369" s="82"/>
      <c r="N369" s="82"/>
      <c r="O369" s="82"/>
      <c r="P369" s="82"/>
      <c r="Q369" s="82"/>
    </row>
    <row r="370" spans="1:17" ht="20.100000000000001" customHeight="1">
      <c r="A370" s="111"/>
      <c r="B370" s="111"/>
      <c r="C370" s="111"/>
      <c r="D370" s="111"/>
      <c r="E370" s="111"/>
      <c r="F370" s="111"/>
      <c r="G370" s="111"/>
      <c r="H370" s="111"/>
      <c r="I370" s="111"/>
      <c r="J370" s="111"/>
      <c r="K370" s="111"/>
      <c r="L370" s="111"/>
      <c r="M370" s="82"/>
      <c r="N370" s="82"/>
      <c r="O370" s="82"/>
      <c r="P370" s="82"/>
      <c r="Q370" s="82"/>
    </row>
    <row r="371" spans="1:17" ht="20.100000000000001" customHeight="1">
      <c r="A371" s="111"/>
      <c r="B371" s="111"/>
      <c r="C371" s="111"/>
      <c r="D371" s="111"/>
      <c r="E371" s="111"/>
      <c r="F371" s="111"/>
      <c r="G371" s="111"/>
      <c r="H371" s="111"/>
      <c r="I371" s="111"/>
      <c r="J371" s="111"/>
      <c r="K371" s="111"/>
      <c r="L371" s="111"/>
      <c r="M371" s="82"/>
      <c r="N371" s="82"/>
      <c r="O371" s="82"/>
      <c r="P371" s="82"/>
      <c r="Q371" s="82"/>
    </row>
    <row r="372" spans="1:17" ht="20.100000000000001" customHeight="1">
      <c r="A372" s="111"/>
      <c r="B372" s="111"/>
      <c r="C372" s="111"/>
      <c r="D372" s="111"/>
      <c r="E372" s="111"/>
      <c r="F372" s="111"/>
      <c r="G372" s="111"/>
      <c r="H372" s="111"/>
      <c r="I372" s="111"/>
      <c r="J372" s="111"/>
      <c r="K372" s="111"/>
      <c r="L372" s="111"/>
      <c r="M372" s="82"/>
      <c r="N372" s="82"/>
      <c r="O372" s="82"/>
      <c r="P372" s="82"/>
      <c r="Q372" s="82"/>
    </row>
    <row r="373" spans="1:17" ht="20.100000000000001" customHeight="1">
      <c r="A373" s="111"/>
      <c r="B373" s="111"/>
      <c r="C373" s="111"/>
      <c r="D373" s="111"/>
      <c r="E373" s="111"/>
      <c r="F373" s="111"/>
      <c r="G373" s="111"/>
      <c r="H373" s="111"/>
      <c r="I373" s="111"/>
      <c r="J373" s="111"/>
      <c r="K373" s="111"/>
      <c r="L373" s="111"/>
      <c r="M373" s="82"/>
      <c r="N373" s="82"/>
      <c r="O373" s="82"/>
      <c r="P373" s="82"/>
      <c r="Q373" s="82"/>
    </row>
    <row r="374" spans="1:17" ht="20.100000000000001" customHeight="1">
      <c r="A374" s="111"/>
      <c r="B374" s="111"/>
      <c r="C374" s="111"/>
      <c r="D374" s="111"/>
      <c r="E374" s="111"/>
      <c r="F374" s="111"/>
      <c r="G374" s="111"/>
      <c r="H374" s="111"/>
      <c r="I374" s="111"/>
      <c r="J374" s="111"/>
      <c r="K374" s="111"/>
      <c r="L374" s="111"/>
      <c r="M374" s="82"/>
      <c r="N374" s="82"/>
      <c r="O374" s="82"/>
      <c r="P374" s="82"/>
      <c r="Q374" s="82"/>
    </row>
    <row r="375" spans="1:17" ht="20.100000000000001" customHeight="1">
      <c r="A375" s="111"/>
      <c r="B375" s="111"/>
      <c r="C375" s="111"/>
      <c r="D375" s="111"/>
      <c r="E375" s="111"/>
      <c r="F375" s="111"/>
      <c r="G375" s="111"/>
      <c r="H375" s="111"/>
      <c r="I375" s="111"/>
      <c r="J375" s="111"/>
      <c r="K375" s="111"/>
      <c r="L375" s="111"/>
      <c r="M375" s="82"/>
      <c r="N375" s="82"/>
      <c r="O375" s="82"/>
      <c r="P375" s="82"/>
      <c r="Q375" s="82"/>
    </row>
    <row r="376" spans="1:17" ht="20.100000000000001" customHeight="1">
      <c r="A376" s="111"/>
      <c r="B376" s="111"/>
      <c r="C376" s="111"/>
      <c r="D376" s="111"/>
      <c r="E376" s="111"/>
      <c r="F376" s="111"/>
      <c r="G376" s="111"/>
      <c r="H376" s="111"/>
      <c r="I376" s="111"/>
      <c r="J376" s="111"/>
      <c r="K376" s="111"/>
      <c r="L376" s="111"/>
      <c r="M376" s="82"/>
      <c r="N376" s="82"/>
      <c r="O376" s="82"/>
      <c r="P376" s="82"/>
      <c r="Q376" s="82"/>
    </row>
    <row r="377" spans="1:17" ht="20.100000000000001" customHeight="1">
      <c r="A377" s="111"/>
      <c r="B377" s="111"/>
      <c r="C377" s="111"/>
      <c r="D377" s="111"/>
      <c r="E377" s="111"/>
      <c r="F377" s="111"/>
      <c r="G377" s="111"/>
      <c r="H377" s="111"/>
      <c r="I377" s="111"/>
      <c r="J377" s="111"/>
      <c r="K377" s="111"/>
      <c r="L377" s="111"/>
      <c r="M377" s="82"/>
      <c r="N377" s="82"/>
      <c r="O377" s="82"/>
      <c r="P377" s="82"/>
      <c r="Q377" s="82"/>
    </row>
    <row r="378" spans="1:17" ht="20.100000000000001" customHeight="1">
      <c r="A378" s="111"/>
      <c r="B378" s="111"/>
      <c r="C378" s="111"/>
      <c r="D378" s="111"/>
      <c r="E378" s="111"/>
      <c r="F378" s="111"/>
      <c r="G378" s="111"/>
      <c r="H378" s="111"/>
      <c r="I378" s="111"/>
      <c r="J378" s="111"/>
      <c r="K378" s="111"/>
      <c r="L378" s="111"/>
      <c r="M378" s="82"/>
      <c r="N378" s="82"/>
      <c r="O378" s="82"/>
      <c r="P378" s="82"/>
      <c r="Q378" s="82"/>
    </row>
    <row r="379" spans="1:17" ht="20.100000000000001" customHeight="1">
      <c r="A379" s="111"/>
      <c r="B379" s="111"/>
      <c r="C379" s="111"/>
      <c r="D379" s="111"/>
      <c r="E379" s="111"/>
      <c r="F379" s="111"/>
      <c r="G379" s="111"/>
      <c r="H379" s="111"/>
      <c r="I379" s="111"/>
      <c r="J379" s="111"/>
      <c r="K379" s="111"/>
      <c r="L379" s="111"/>
      <c r="M379" s="82"/>
      <c r="N379" s="82"/>
      <c r="O379" s="82"/>
      <c r="P379" s="82"/>
      <c r="Q379" s="82"/>
    </row>
    <row r="380" spans="1:17" ht="20.100000000000001" customHeight="1">
      <c r="A380" s="111"/>
      <c r="B380" s="111"/>
      <c r="C380" s="111"/>
      <c r="D380" s="111"/>
      <c r="E380" s="111"/>
      <c r="F380" s="111"/>
      <c r="G380" s="111"/>
      <c r="H380" s="111"/>
      <c r="I380" s="111"/>
      <c r="J380" s="111"/>
      <c r="K380" s="111"/>
      <c r="L380" s="111"/>
      <c r="M380" s="82"/>
      <c r="N380" s="82"/>
      <c r="O380" s="82"/>
      <c r="P380" s="82"/>
      <c r="Q380" s="82"/>
    </row>
    <row r="381" spans="1:17" ht="20.100000000000001" customHeight="1">
      <c r="A381" s="111"/>
      <c r="B381" s="111"/>
      <c r="C381" s="111"/>
      <c r="D381" s="111"/>
      <c r="E381" s="111"/>
      <c r="F381" s="111"/>
      <c r="G381" s="111"/>
      <c r="H381" s="111"/>
      <c r="I381" s="111"/>
      <c r="J381" s="111"/>
      <c r="K381" s="111"/>
      <c r="L381" s="111"/>
      <c r="M381" s="82"/>
      <c r="N381" s="82"/>
      <c r="O381" s="82"/>
      <c r="P381" s="82"/>
      <c r="Q381" s="82"/>
    </row>
    <row r="382" spans="1:17" ht="20.100000000000001" customHeight="1">
      <c r="A382" s="111"/>
      <c r="B382" s="111"/>
      <c r="C382" s="111"/>
      <c r="D382" s="111"/>
      <c r="E382" s="111"/>
      <c r="F382" s="111"/>
      <c r="G382" s="111"/>
      <c r="H382" s="111"/>
      <c r="I382" s="111"/>
      <c r="J382" s="111"/>
      <c r="K382" s="111"/>
      <c r="L382" s="111"/>
      <c r="M382" s="82"/>
      <c r="N382" s="82"/>
      <c r="O382" s="82"/>
      <c r="P382" s="82"/>
      <c r="Q382" s="82"/>
    </row>
    <row r="383" spans="1:17" ht="20.100000000000001" customHeight="1">
      <c r="A383" s="111"/>
      <c r="B383" s="111"/>
      <c r="C383" s="111"/>
      <c r="D383" s="111"/>
      <c r="E383" s="111"/>
      <c r="F383" s="111"/>
      <c r="G383" s="111"/>
      <c r="H383" s="111"/>
      <c r="I383" s="111"/>
      <c r="J383" s="111"/>
      <c r="K383" s="111"/>
      <c r="L383" s="111"/>
      <c r="M383" s="82"/>
      <c r="N383" s="82"/>
      <c r="O383" s="82"/>
      <c r="P383" s="82"/>
      <c r="Q383" s="82"/>
    </row>
    <row r="384" spans="1:17" ht="20.100000000000001" customHeight="1">
      <c r="A384" s="111"/>
      <c r="B384" s="111"/>
      <c r="C384" s="111"/>
      <c r="D384" s="111"/>
      <c r="E384" s="111"/>
      <c r="F384" s="111"/>
      <c r="G384" s="111"/>
      <c r="H384" s="111"/>
      <c r="I384" s="111"/>
      <c r="J384" s="111"/>
      <c r="K384" s="111"/>
      <c r="L384" s="111"/>
      <c r="M384" s="82"/>
      <c r="N384" s="82"/>
      <c r="O384" s="82"/>
      <c r="P384" s="82"/>
      <c r="Q384" s="82"/>
    </row>
    <row r="385" spans="1:17" ht="20.100000000000001" customHeight="1">
      <c r="A385" s="111"/>
      <c r="B385" s="111"/>
      <c r="C385" s="111"/>
      <c r="D385" s="111"/>
      <c r="E385" s="111"/>
      <c r="F385" s="111"/>
      <c r="G385" s="111"/>
      <c r="H385" s="111"/>
      <c r="I385" s="111"/>
      <c r="J385" s="111"/>
      <c r="K385" s="111"/>
      <c r="L385" s="111"/>
      <c r="M385" s="82"/>
      <c r="N385" s="82"/>
      <c r="O385" s="82"/>
      <c r="P385" s="82"/>
      <c r="Q385" s="82"/>
    </row>
    <row r="386" spans="1:17" ht="20.100000000000001" customHeight="1">
      <c r="A386" s="111"/>
      <c r="B386" s="111"/>
      <c r="C386" s="111"/>
      <c r="D386" s="111"/>
      <c r="E386" s="111"/>
      <c r="F386" s="111"/>
      <c r="G386" s="111"/>
      <c r="H386" s="111"/>
      <c r="I386" s="111"/>
      <c r="J386" s="111"/>
      <c r="K386" s="111"/>
      <c r="L386" s="111"/>
      <c r="M386" s="82"/>
      <c r="N386" s="82"/>
      <c r="O386" s="82"/>
      <c r="P386" s="82"/>
      <c r="Q386" s="82"/>
    </row>
    <row r="387" spans="1:17" ht="20.100000000000001" customHeight="1">
      <c r="A387" s="111"/>
      <c r="B387" s="111"/>
      <c r="C387" s="111"/>
      <c r="D387" s="111"/>
      <c r="E387" s="111"/>
      <c r="F387" s="111"/>
      <c r="G387" s="111"/>
      <c r="H387" s="111"/>
      <c r="I387" s="111"/>
      <c r="J387" s="111"/>
      <c r="K387" s="111"/>
      <c r="L387" s="111"/>
      <c r="M387" s="82"/>
      <c r="N387" s="82"/>
      <c r="O387" s="82"/>
      <c r="P387" s="82"/>
      <c r="Q387" s="82"/>
    </row>
    <row r="388" spans="1:17" ht="20.100000000000001" customHeight="1">
      <c r="A388" s="111"/>
      <c r="B388" s="111"/>
      <c r="C388" s="111"/>
      <c r="D388" s="111"/>
      <c r="E388" s="111"/>
      <c r="F388" s="111"/>
      <c r="G388" s="111"/>
      <c r="H388" s="111"/>
      <c r="I388" s="111"/>
      <c r="J388" s="111"/>
      <c r="K388" s="111"/>
      <c r="L388" s="111"/>
      <c r="M388" s="82"/>
      <c r="N388" s="82"/>
      <c r="O388" s="82"/>
      <c r="P388" s="82"/>
      <c r="Q388" s="82"/>
    </row>
    <row r="389" spans="1:17" ht="20.100000000000001" customHeight="1">
      <c r="A389" s="111"/>
      <c r="B389" s="111"/>
      <c r="C389" s="111"/>
      <c r="D389" s="111"/>
      <c r="E389" s="111"/>
      <c r="F389" s="111"/>
      <c r="G389" s="111"/>
      <c r="H389" s="111"/>
      <c r="I389" s="111"/>
      <c r="J389" s="111"/>
      <c r="K389" s="111"/>
      <c r="L389" s="111"/>
      <c r="M389" s="82"/>
      <c r="N389" s="82"/>
      <c r="O389" s="82"/>
      <c r="P389" s="82"/>
      <c r="Q389" s="82"/>
    </row>
    <row r="390" spans="1:17" ht="20.100000000000001" customHeight="1">
      <c r="A390" s="111"/>
      <c r="B390" s="111"/>
      <c r="C390" s="111"/>
      <c r="D390" s="111"/>
      <c r="E390" s="111"/>
      <c r="F390" s="111"/>
      <c r="G390" s="111"/>
      <c r="H390" s="111"/>
      <c r="I390" s="111"/>
      <c r="J390" s="111"/>
      <c r="K390" s="111"/>
      <c r="L390" s="111"/>
      <c r="M390" s="82"/>
      <c r="N390" s="82"/>
      <c r="O390" s="82"/>
      <c r="P390" s="82"/>
      <c r="Q390" s="82"/>
    </row>
    <row r="391" spans="1:17" ht="20.100000000000001" customHeight="1">
      <c r="A391" s="111"/>
      <c r="B391" s="111"/>
      <c r="C391" s="111"/>
      <c r="D391" s="111"/>
      <c r="E391" s="111"/>
      <c r="F391" s="111"/>
      <c r="G391" s="111"/>
      <c r="H391" s="111"/>
      <c r="I391" s="111"/>
      <c r="J391" s="111"/>
      <c r="K391" s="111"/>
      <c r="L391" s="111"/>
      <c r="M391" s="82"/>
      <c r="N391" s="82"/>
      <c r="O391" s="82"/>
      <c r="P391" s="82"/>
      <c r="Q391" s="82"/>
    </row>
    <row r="392" spans="1:17" ht="20.100000000000001" customHeight="1">
      <c r="A392" s="111"/>
      <c r="B392" s="111"/>
      <c r="C392" s="111"/>
      <c r="D392" s="111"/>
      <c r="E392" s="111"/>
      <c r="F392" s="111"/>
      <c r="G392" s="111"/>
      <c r="H392" s="111"/>
      <c r="I392" s="111"/>
      <c r="J392" s="111"/>
      <c r="K392" s="111"/>
      <c r="L392" s="111"/>
      <c r="M392" s="82"/>
      <c r="N392" s="82"/>
      <c r="O392" s="82"/>
      <c r="P392" s="82"/>
      <c r="Q392" s="82"/>
    </row>
    <row r="393" spans="1:17" ht="20.100000000000001" customHeight="1">
      <c r="A393" s="111"/>
      <c r="B393" s="111"/>
      <c r="C393" s="111"/>
      <c r="D393" s="111"/>
      <c r="E393" s="111"/>
      <c r="F393" s="111"/>
      <c r="G393" s="111"/>
      <c r="H393" s="111"/>
      <c r="I393" s="111"/>
      <c r="J393" s="111"/>
      <c r="K393" s="111"/>
      <c r="L393" s="111"/>
      <c r="M393" s="82"/>
      <c r="N393" s="82"/>
      <c r="O393" s="82"/>
      <c r="P393" s="82"/>
      <c r="Q393" s="82"/>
    </row>
    <row r="394" spans="1:17" ht="20.100000000000001" customHeight="1">
      <c r="A394" s="111"/>
      <c r="B394" s="111"/>
      <c r="C394" s="111"/>
      <c r="D394" s="111"/>
      <c r="E394" s="111"/>
      <c r="F394" s="111"/>
      <c r="G394" s="111"/>
      <c r="H394" s="111"/>
      <c r="I394" s="111"/>
      <c r="J394" s="111"/>
      <c r="K394" s="111"/>
      <c r="L394" s="111"/>
      <c r="M394" s="82"/>
      <c r="N394" s="82"/>
      <c r="O394" s="82"/>
      <c r="P394" s="82"/>
      <c r="Q394" s="82"/>
    </row>
    <row r="395" spans="1:17" ht="20.100000000000001" customHeight="1">
      <c r="A395" s="111"/>
      <c r="B395" s="111"/>
      <c r="C395" s="111"/>
      <c r="D395" s="111"/>
      <c r="E395" s="111"/>
      <c r="F395" s="111"/>
      <c r="G395" s="111"/>
      <c r="H395" s="111"/>
      <c r="I395" s="111"/>
      <c r="J395" s="111"/>
      <c r="K395" s="111"/>
      <c r="L395" s="111"/>
      <c r="M395" s="82"/>
      <c r="N395" s="82"/>
      <c r="O395" s="82"/>
      <c r="P395" s="82"/>
      <c r="Q395" s="82"/>
    </row>
    <row r="396" spans="1:17" ht="20.100000000000001" customHeight="1">
      <c r="A396" s="111"/>
      <c r="B396" s="111"/>
      <c r="C396" s="111"/>
      <c r="D396" s="111"/>
      <c r="E396" s="111"/>
      <c r="F396" s="111"/>
      <c r="G396" s="111"/>
      <c r="H396" s="111"/>
      <c r="I396" s="111"/>
      <c r="J396" s="111"/>
      <c r="K396" s="111"/>
      <c r="L396" s="111"/>
      <c r="M396" s="82"/>
      <c r="N396" s="82"/>
      <c r="O396" s="82"/>
      <c r="P396" s="82"/>
      <c r="Q396" s="82"/>
    </row>
    <row r="397" spans="1:17" ht="20.100000000000001" customHeight="1">
      <c r="A397" s="111"/>
      <c r="B397" s="111"/>
      <c r="C397" s="111"/>
      <c r="D397" s="111"/>
      <c r="E397" s="111"/>
      <c r="F397" s="111"/>
      <c r="G397" s="111"/>
      <c r="H397" s="111"/>
      <c r="I397" s="111"/>
      <c r="J397" s="111"/>
      <c r="K397" s="111"/>
      <c r="L397" s="111"/>
      <c r="M397" s="82"/>
      <c r="N397" s="82"/>
      <c r="O397" s="82"/>
      <c r="P397" s="82"/>
      <c r="Q397" s="82"/>
    </row>
    <row r="398" spans="1:17" ht="20.100000000000001" customHeight="1">
      <c r="A398" s="111"/>
      <c r="B398" s="111"/>
      <c r="C398" s="111"/>
      <c r="D398" s="111"/>
      <c r="E398" s="111"/>
      <c r="F398" s="111"/>
      <c r="G398" s="111"/>
      <c r="H398" s="111"/>
      <c r="I398" s="111"/>
      <c r="J398" s="111"/>
      <c r="K398" s="111"/>
      <c r="L398" s="111"/>
      <c r="M398" s="82"/>
      <c r="N398" s="82"/>
      <c r="O398" s="82"/>
      <c r="P398" s="82"/>
      <c r="Q398" s="82"/>
    </row>
    <row r="399" spans="1:17" ht="20.100000000000001" customHeight="1">
      <c r="A399" s="111"/>
      <c r="B399" s="111"/>
      <c r="C399" s="111"/>
      <c r="D399" s="111"/>
      <c r="E399" s="111"/>
      <c r="F399" s="111"/>
      <c r="G399" s="111"/>
      <c r="H399" s="111"/>
      <c r="I399" s="111"/>
      <c r="J399" s="111"/>
      <c r="K399" s="111"/>
      <c r="L399" s="111"/>
      <c r="M399" s="82"/>
      <c r="N399" s="82"/>
      <c r="O399" s="82"/>
      <c r="P399" s="82"/>
      <c r="Q399" s="82"/>
    </row>
    <row r="400" spans="1:17" ht="20.100000000000001" customHeight="1">
      <c r="A400" s="111"/>
      <c r="B400" s="111"/>
      <c r="C400" s="111"/>
      <c r="D400" s="111"/>
      <c r="E400" s="111"/>
      <c r="F400" s="111"/>
      <c r="G400" s="111"/>
      <c r="H400" s="111"/>
      <c r="I400" s="111"/>
      <c r="J400" s="111"/>
      <c r="K400" s="111"/>
      <c r="L400" s="111"/>
      <c r="M400" s="82"/>
      <c r="N400" s="82"/>
      <c r="O400" s="82"/>
      <c r="P400" s="82"/>
      <c r="Q400" s="82"/>
    </row>
    <row r="401" spans="1:17" ht="20.100000000000001" customHeight="1">
      <c r="A401" s="111"/>
      <c r="B401" s="111"/>
      <c r="C401" s="111"/>
      <c r="D401" s="111"/>
      <c r="E401" s="111"/>
      <c r="F401" s="111"/>
      <c r="G401" s="111"/>
      <c r="H401" s="111"/>
      <c r="I401" s="111"/>
      <c r="J401" s="111"/>
      <c r="K401" s="111"/>
      <c r="L401" s="111"/>
      <c r="M401" s="82"/>
      <c r="N401" s="82"/>
      <c r="O401" s="82"/>
      <c r="P401" s="82"/>
      <c r="Q401" s="82"/>
    </row>
    <row r="402" spans="1:17" ht="20.100000000000001" customHeight="1">
      <c r="A402" s="111"/>
      <c r="B402" s="111"/>
      <c r="C402" s="111"/>
      <c r="D402" s="111"/>
      <c r="E402" s="111"/>
      <c r="F402" s="111"/>
      <c r="G402" s="111"/>
      <c r="H402" s="111"/>
      <c r="I402" s="111"/>
      <c r="J402" s="111"/>
      <c r="K402" s="111"/>
      <c r="L402" s="111"/>
      <c r="M402" s="82"/>
      <c r="N402" s="82"/>
      <c r="O402" s="82"/>
      <c r="P402" s="82"/>
      <c r="Q402" s="82"/>
    </row>
    <row r="403" spans="1:17" ht="20.100000000000001" customHeight="1">
      <c r="A403" s="111"/>
      <c r="B403" s="111"/>
      <c r="C403" s="111"/>
      <c r="D403" s="111"/>
      <c r="E403" s="111"/>
      <c r="F403" s="111"/>
      <c r="G403" s="111"/>
      <c r="H403" s="111"/>
      <c r="I403" s="111"/>
      <c r="J403" s="111"/>
      <c r="K403" s="111"/>
      <c r="L403" s="111"/>
      <c r="M403" s="82"/>
      <c r="N403" s="82"/>
      <c r="O403" s="82"/>
      <c r="P403" s="82"/>
      <c r="Q403" s="82"/>
    </row>
    <row r="404" spans="1:17" ht="20.100000000000001" customHeight="1">
      <c r="A404" s="111"/>
      <c r="B404" s="111"/>
      <c r="C404" s="111"/>
      <c r="D404" s="111"/>
      <c r="E404" s="111"/>
      <c r="F404" s="111"/>
      <c r="G404" s="111"/>
      <c r="H404" s="111"/>
      <c r="I404" s="111"/>
      <c r="J404" s="111"/>
      <c r="K404" s="111"/>
      <c r="L404" s="111"/>
      <c r="M404" s="82"/>
      <c r="N404" s="82"/>
      <c r="O404" s="82"/>
      <c r="P404" s="82"/>
      <c r="Q404" s="82"/>
    </row>
    <row r="405" spans="1:17" ht="20.100000000000001" customHeight="1">
      <c r="A405" s="111"/>
      <c r="B405" s="111"/>
      <c r="C405" s="111"/>
      <c r="D405" s="111"/>
      <c r="E405" s="111"/>
      <c r="F405" s="111"/>
      <c r="G405" s="111"/>
      <c r="H405" s="111"/>
      <c r="I405" s="111"/>
      <c r="J405" s="111"/>
      <c r="K405" s="111"/>
      <c r="L405" s="111"/>
      <c r="M405" s="82"/>
      <c r="N405" s="82"/>
      <c r="O405" s="82"/>
      <c r="P405" s="82"/>
      <c r="Q405" s="82"/>
    </row>
    <row r="406" spans="1:17" ht="20.100000000000001" customHeight="1">
      <c r="A406" s="111"/>
      <c r="B406" s="111"/>
      <c r="C406" s="111"/>
      <c r="D406" s="111"/>
      <c r="E406" s="111"/>
      <c r="F406" s="111"/>
      <c r="G406" s="111"/>
      <c r="H406" s="111"/>
      <c r="I406" s="111"/>
      <c r="J406" s="111"/>
      <c r="K406" s="111"/>
      <c r="L406" s="111"/>
      <c r="M406" s="82"/>
      <c r="N406" s="82"/>
      <c r="O406" s="82"/>
      <c r="P406" s="82"/>
      <c r="Q406" s="82"/>
    </row>
    <row r="407" spans="1:17" ht="20.100000000000001" customHeight="1">
      <c r="A407" s="111"/>
      <c r="B407" s="111"/>
      <c r="C407" s="111"/>
      <c r="D407" s="111"/>
      <c r="E407" s="111"/>
      <c r="F407" s="111"/>
      <c r="G407" s="111"/>
      <c r="H407" s="111"/>
      <c r="I407" s="111"/>
      <c r="J407" s="111"/>
      <c r="K407" s="111"/>
      <c r="L407" s="111"/>
      <c r="M407" s="82"/>
      <c r="N407" s="82"/>
      <c r="O407" s="82"/>
      <c r="P407" s="82"/>
      <c r="Q407" s="82"/>
    </row>
    <row r="408" spans="1:17" ht="20.100000000000001" customHeight="1">
      <c r="A408" s="111"/>
      <c r="B408" s="111"/>
      <c r="C408" s="111"/>
      <c r="D408" s="111"/>
      <c r="E408" s="111"/>
      <c r="F408" s="111"/>
      <c r="G408" s="111"/>
      <c r="H408" s="111"/>
      <c r="I408" s="111"/>
      <c r="J408" s="111"/>
      <c r="K408" s="111"/>
      <c r="L408" s="111"/>
      <c r="M408" s="82"/>
      <c r="N408" s="82"/>
      <c r="O408" s="82"/>
      <c r="P408" s="82"/>
      <c r="Q408" s="82"/>
    </row>
    <row r="409" spans="1:17" ht="20.100000000000001" customHeight="1">
      <c r="A409" s="111"/>
      <c r="B409" s="111"/>
      <c r="C409" s="111"/>
      <c r="D409" s="111"/>
      <c r="E409" s="111"/>
      <c r="F409" s="111"/>
      <c r="G409" s="111"/>
      <c r="H409" s="111"/>
      <c r="I409" s="111"/>
      <c r="J409" s="111"/>
      <c r="K409" s="111"/>
      <c r="L409" s="111"/>
      <c r="M409" s="82"/>
      <c r="N409" s="82"/>
      <c r="O409" s="82"/>
      <c r="P409" s="82"/>
      <c r="Q409" s="82"/>
    </row>
    <row r="410" spans="1:17" ht="20.100000000000001" customHeight="1">
      <c r="A410" s="111"/>
      <c r="B410" s="111"/>
      <c r="C410" s="111"/>
      <c r="D410" s="111"/>
      <c r="E410" s="111"/>
      <c r="F410" s="111"/>
      <c r="G410" s="111"/>
      <c r="H410" s="111"/>
      <c r="I410" s="111"/>
      <c r="J410" s="111"/>
      <c r="K410" s="111"/>
      <c r="L410" s="111"/>
      <c r="M410" s="82"/>
      <c r="N410" s="82"/>
      <c r="O410" s="82"/>
      <c r="P410" s="82"/>
      <c r="Q410" s="82"/>
    </row>
    <row r="411" spans="1:17" ht="20.100000000000001" customHeight="1">
      <c r="A411" s="111"/>
      <c r="B411" s="111"/>
      <c r="C411" s="111"/>
      <c r="D411" s="111"/>
      <c r="E411" s="111"/>
      <c r="F411" s="111"/>
      <c r="G411" s="111"/>
      <c r="H411" s="111"/>
      <c r="I411" s="111"/>
      <c r="J411" s="111"/>
      <c r="K411" s="111"/>
      <c r="L411" s="111"/>
      <c r="M411" s="82"/>
      <c r="N411" s="82"/>
      <c r="O411" s="82"/>
      <c r="P411" s="82"/>
      <c r="Q411" s="82"/>
    </row>
    <row r="412" spans="1:17" ht="20.100000000000001" customHeight="1">
      <c r="A412" s="111"/>
      <c r="B412" s="111"/>
      <c r="C412" s="111"/>
      <c r="D412" s="111"/>
      <c r="E412" s="111"/>
      <c r="F412" s="111"/>
      <c r="G412" s="111"/>
      <c r="H412" s="111"/>
      <c r="I412" s="111"/>
      <c r="J412" s="111"/>
      <c r="K412" s="111"/>
      <c r="L412" s="111"/>
      <c r="M412" s="82"/>
      <c r="N412" s="82"/>
      <c r="O412" s="82"/>
      <c r="P412" s="82"/>
      <c r="Q412" s="82"/>
    </row>
    <row r="413" spans="1:17" ht="20.100000000000001" customHeight="1">
      <c r="A413" s="111"/>
      <c r="B413" s="111"/>
      <c r="C413" s="111"/>
      <c r="D413" s="111"/>
      <c r="E413" s="111"/>
      <c r="F413" s="111"/>
      <c r="G413" s="111"/>
      <c r="H413" s="111"/>
      <c r="I413" s="111"/>
      <c r="J413" s="111"/>
      <c r="K413" s="111"/>
      <c r="L413" s="111"/>
      <c r="M413" s="82"/>
      <c r="N413" s="82"/>
      <c r="O413" s="82"/>
      <c r="P413" s="82"/>
      <c r="Q413" s="82"/>
    </row>
    <row r="414" spans="1:17" ht="20.100000000000001" customHeight="1">
      <c r="A414" s="111"/>
      <c r="B414" s="111"/>
      <c r="C414" s="111"/>
      <c r="D414" s="111"/>
      <c r="E414" s="111"/>
      <c r="F414" s="111"/>
      <c r="G414" s="111"/>
      <c r="H414" s="111"/>
      <c r="I414" s="111"/>
      <c r="J414" s="111"/>
      <c r="K414" s="111"/>
      <c r="L414" s="111"/>
      <c r="M414" s="82"/>
      <c r="N414" s="82"/>
      <c r="O414" s="82"/>
      <c r="P414" s="82"/>
      <c r="Q414" s="82"/>
    </row>
    <row r="415" spans="1:17" ht="20.100000000000001" customHeight="1">
      <c r="A415" s="111"/>
      <c r="B415" s="111"/>
      <c r="C415" s="111"/>
      <c r="D415" s="111"/>
      <c r="E415" s="111"/>
      <c r="F415" s="111"/>
      <c r="G415" s="111"/>
      <c r="H415" s="111"/>
      <c r="I415" s="111"/>
      <c r="J415" s="111"/>
      <c r="K415" s="111"/>
      <c r="L415" s="111"/>
      <c r="M415" s="82"/>
      <c r="N415" s="82"/>
      <c r="O415" s="82"/>
      <c r="P415" s="82"/>
      <c r="Q415" s="82"/>
    </row>
    <row r="416" spans="1:17" ht="20.100000000000001" customHeight="1">
      <c r="A416" s="111"/>
      <c r="B416" s="111"/>
      <c r="C416" s="111"/>
      <c r="D416" s="111"/>
      <c r="E416" s="111"/>
      <c r="F416" s="111"/>
      <c r="G416" s="111"/>
      <c r="H416" s="111"/>
      <c r="I416" s="111"/>
      <c r="J416" s="111"/>
      <c r="K416" s="111"/>
      <c r="L416" s="111"/>
      <c r="M416" s="82"/>
      <c r="N416" s="82"/>
      <c r="O416" s="82"/>
      <c r="P416" s="82"/>
      <c r="Q416" s="82"/>
    </row>
    <row r="417" spans="1:17" ht="20.100000000000001" customHeight="1">
      <c r="A417" s="111"/>
      <c r="B417" s="111"/>
      <c r="C417" s="111"/>
      <c r="D417" s="111"/>
      <c r="E417" s="111"/>
      <c r="F417" s="111"/>
      <c r="G417" s="111"/>
      <c r="H417" s="111"/>
      <c r="I417" s="111"/>
      <c r="J417" s="111"/>
      <c r="K417" s="111"/>
      <c r="L417" s="111"/>
      <c r="M417" s="82"/>
      <c r="N417" s="82"/>
      <c r="O417" s="82"/>
      <c r="P417" s="82"/>
      <c r="Q417" s="82"/>
    </row>
    <row r="418" spans="1:17" ht="20.100000000000001" customHeight="1">
      <c r="A418" s="111"/>
      <c r="B418" s="111"/>
      <c r="C418" s="111"/>
      <c r="D418" s="111"/>
      <c r="E418" s="111"/>
      <c r="F418" s="111"/>
      <c r="G418" s="111"/>
      <c r="H418" s="111"/>
      <c r="I418" s="111"/>
      <c r="J418" s="111"/>
      <c r="K418" s="111"/>
      <c r="L418" s="111"/>
      <c r="M418" s="82"/>
      <c r="N418" s="82"/>
      <c r="O418" s="82"/>
      <c r="P418" s="82"/>
      <c r="Q418" s="82"/>
    </row>
    <row r="419" spans="1:17" ht="20.100000000000001" customHeight="1">
      <c r="A419" s="111"/>
      <c r="B419" s="111"/>
      <c r="C419" s="111"/>
      <c r="D419" s="111"/>
      <c r="E419" s="111"/>
      <c r="F419" s="111"/>
      <c r="G419" s="111"/>
      <c r="H419" s="111"/>
      <c r="I419" s="111"/>
      <c r="J419" s="111"/>
      <c r="K419" s="111"/>
      <c r="L419" s="111"/>
      <c r="M419" s="82"/>
      <c r="N419" s="82"/>
      <c r="O419" s="82"/>
      <c r="P419" s="82"/>
      <c r="Q419" s="82"/>
    </row>
    <row r="420" spans="1:17" ht="20.100000000000001" customHeight="1">
      <c r="A420" s="111"/>
      <c r="B420" s="111"/>
      <c r="C420" s="111"/>
      <c r="D420" s="111"/>
      <c r="E420" s="111"/>
      <c r="F420" s="111"/>
      <c r="G420" s="111"/>
      <c r="H420" s="111"/>
      <c r="I420" s="111"/>
      <c r="J420" s="111"/>
      <c r="K420" s="111"/>
      <c r="L420" s="111"/>
      <c r="M420" s="82"/>
      <c r="N420" s="82"/>
      <c r="O420" s="82"/>
      <c r="P420" s="82"/>
      <c r="Q420" s="82"/>
    </row>
    <row r="421" spans="1:17" ht="20.100000000000001" customHeight="1">
      <c r="M421" s="119"/>
      <c r="N421" s="119"/>
      <c r="O421" s="119"/>
      <c r="P421" s="119"/>
      <c r="Q421" s="119"/>
    </row>
    <row r="422" spans="1:17" ht="20.100000000000001" customHeight="1">
      <c r="M422" s="119"/>
      <c r="N422" s="119"/>
      <c r="O422" s="119"/>
      <c r="P422" s="119"/>
      <c r="Q422" s="119"/>
    </row>
    <row r="423" spans="1:17" ht="20.100000000000001" customHeight="1">
      <c r="M423" s="119"/>
      <c r="N423" s="119"/>
      <c r="O423" s="119"/>
      <c r="P423" s="119"/>
      <c r="Q423" s="119"/>
    </row>
    <row r="424" spans="1:17" ht="20.100000000000001" customHeight="1">
      <c r="M424" s="119"/>
      <c r="N424" s="119"/>
      <c r="O424" s="119"/>
      <c r="P424" s="119"/>
      <c r="Q424" s="119"/>
    </row>
    <row r="425" spans="1:17" ht="20.100000000000001" customHeight="1">
      <c r="M425" s="119"/>
      <c r="N425" s="119"/>
      <c r="O425" s="119"/>
      <c r="P425" s="119"/>
      <c r="Q425" s="119"/>
    </row>
    <row r="426" spans="1:17" ht="20.100000000000001" customHeight="1">
      <c r="M426" s="119"/>
      <c r="N426" s="119"/>
      <c r="O426" s="119"/>
      <c r="P426" s="119"/>
      <c r="Q426" s="119"/>
    </row>
    <row r="427" spans="1:17" ht="20.100000000000001" customHeight="1">
      <c r="M427" s="119"/>
      <c r="N427" s="119"/>
      <c r="O427" s="119"/>
      <c r="P427" s="119"/>
      <c r="Q427" s="119"/>
    </row>
    <row r="428" spans="1:17" ht="20.100000000000001" customHeight="1">
      <c r="M428" s="119"/>
      <c r="N428" s="119"/>
      <c r="O428" s="119"/>
      <c r="P428" s="119"/>
      <c r="Q428" s="119"/>
    </row>
    <row r="429" spans="1:17" ht="20.100000000000001" customHeight="1">
      <c r="M429" s="119"/>
      <c r="N429" s="119"/>
      <c r="O429" s="119"/>
      <c r="P429" s="119"/>
      <c r="Q429" s="119"/>
    </row>
    <row r="430" spans="1:17" ht="20.100000000000001" customHeight="1">
      <c r="M430" s="119"/>
      <c r="N430" s="119"/>
      <c r="O430" s="119"/>
      <c r="P430" s="119"/>
      <c r="Q430" s="119"/>
    </row>
    <row r="431" spans="1:17" ht="20.100000000000001" customHeight="1">
      <c r="M431" s="119"/>
      <c r="N431" s="119"/>
      <c r="O431" s="119"/>
      <c r="P431" s="119"/>
      <c r="Q431" s="119"/>
    </row>
    <row r="432" spans="1:17" ht="20.100000000000001" customHeight="1">
      <c r="M432" s="119"/>
      <c r="N432" s="119"/>
      <c r="O432" s="119"/>
      <c r="P432" s="119"/>
      <c r="Q432" s="119"/>
    </row>
    <row r="433" spans="13:17" ht="20.100000000000001" customHeight="1">
      <c r="M433" s="119"/>
      <c r="N433" s="119"/>
      <c r="O433" s="119"/>
      <c r="P433" s="119"/>
      <c r="Q433" s="119"/>
    </row>
    <row r="434" spans="13:17" ht="20.100000000000001" customHeight="1">
      <c r="M434" s="119"/>
      <c r="N434" s="119"/>
      <c r="O434" s="119"/>
      <c r="P434" s="119"/>
      <c r="Q434" s="119"/>
    </row>
    <row r="435" spans="13:17" ht="20.100000000000001" customHeight="1">
      <c r="M435" s="119"/>
      <c r="N435" s="119"/>
      <c r="O435" s="119"/>
      <c r="P435" s="119"/>
      <c r="Q435" s="119"/>
    </row>
    <row r="436" spans="13:17" ht="20.100000000000001" customHeight="1">
      <c r="M436" s="119"/>
      <c r="N436" s="119"/>
      <c r="O436" s="119"/>
      <c r="P436" s="119"/>
      <c r="Q436" s="119"/>
    </row>
    <row r="437" spans="13:17" ht="20.100000000000001" customHeight="1">
      <c r="M437" s="119"/>
      <c r="N437" s="119"/>
      <c r="O437" s="119"/>
      <c r="P437" s="119"/>
      <c r="Q437" s="119"/>
    </row>
    <row r="438" spans="13:17" ht="20.100000000000001" customHeight="1">
      <c r="M438" s="119"/>
      <c r="N438" s="119"/>
      <c r="O438" s="119"/>
      <c r="P438" s="119"/>
      <c r="Q438" s="119"/>
    </row>
    <row r="439" spans="13:17" ht="20.100000000000001" customHeight="1">
      <c r="M439" s="119"/>
      <c r="N439" s="119"/>
      <c r="O439" s="119"/>
      <c r="P439" s="119"/>
      <c r="Q439" s="119"/>
    </row>
    <row r="440" spans="13:17" ht="20.100000000000001" customHeight="1">
      <c r="M440" s="119"/>
      <c r="N440" s="119"/>
      <c r="O440" s="119"/>
      <c r="P440" s="119"/>
      <c r="Q440" s="119"/>
    </row>
    <row r="441" spans="13:17" ht="20.100000000000001" customHeight="1">
      <c r="M441" s="119"/>
      <c r="N441" s="119"/>
      <c r="O441" s="119"/>
      <c r="P441" s="119"/>
      <c r="Q441" s="119"/>
    </row>
    <row r="442" spans="13:17" ht="20.100000000000001" customHeight="1">
      <c r="M442" s="119"/>
      <c r="N442" s="119"/>
      <c r="O442" s="119"/>
      <c r="P442" s="119"/>
      <c r="Q442" s="119"/>
    </row>
    <row r="443" spans="13:17" ht="20.100000000000001" customHeight="1">
      <c r="M443" s="119"/>
      <c r="N443" s="119"/>
      <c r="O443" s="119"/>
      <c r="P443" s="119"/>
      <c r="Q443" s="119"/>
    </row>
    <row r="444" spans="13:17" ht="20.100000000000001" customHeight="1">
      <c r="M444" s="119"/>
      <c r="N444" s="119"/>
      <c r="O444" s="119"/>
      <c r="P444" s="119"/>
      <c r="Q444" s="119"/>
    </row>
    <row r="445" spans="13:17" ht="20.100000000000001" customHeight="1">
      <c r="M445" s="119"/>
      <c r="N445" s="119"/>
      <c r="O445" s="119"/>
      <c r="P445" s="119"/>
      <c r="Q445" s="119"/>
    </row>
    <row r="446" spans="13:17" ht="20.100000000000001" customHeight="1">
      <c r="M446" s="119"/>
      <c r="N446" s="119"/>
      <c r="O446" s="119"/>
      <c r="P446" s="119"/>
      <c r="Q446" s="119"/>
    </row>
    <row r="447" spans="13:17" ht="20.100000000000001" customHeight="1">
      <c r="M447" s="119"/>
      <c r="N447" s="119"/>
      <c r="O447" s="119"/>
      <c r="P447" s="119"/>
      <c r="Q447" s="119"/>
    </row>
    <row r="448" spans="13:17" ht="20.100000000000001" customHeight="1">
      <c r="M448" s="119"/>
      <c r="N448" s="119"/>
      <c r="O448" s="119"/>
      <c r="P448" s="119"/>
      <c r="Q448" s="119"/>
    </row>
    <row r="449" spans="13:17" ht="20.100000000000001" customHeight="1">
      <c r="M449" s="119"/>
      <c r="N449" s="119"/>
      <c r="O449" s="119"/>
      <c r="P449" s="119"/>
      <c r="Q449" s="119"/>
    </row>
    <row r="450" spans="13:17" ht="20.100000000000001" customHeight="1">
      <c r="M450" s="119"/>
      <c r="N450" s="119"/>
      <c r="O450" s="119"/>
      <c r="P450" s="119"/>
      <c r="Q450" s="119"/>
    </row>
    <row r="451" spans="13:17" ht="20.100000000000001" customHeight="1">
      <c r="M451" s="119"/>
      <c r="N451" s="119"/>
      <c r="O451" s="119"/>
      <c r="P451" s="119"/>
      <c r="Q451" s="119"/>
    </row>
    <row r="452" spans="13:17" ht="20.100000000000001" customHeight="1">
      <c r="M452" s="119"/>
      <c r="N452" s="119"/>
      <c r="O452" s="119"/>
      <c r="P452" s="119"/>
      <c r="Q452" s="119"/>
    </row>
    <row r="453" spans="13:17" ht="20.100000000000001" customHeight="1">
      <c r="M453" s="119"/>
      <c r="N453" s="119"/>
      <c r="O453" s="119"/>
      <c r="P453" s="119"/>
      <c r="Q453" s="119"/>
    </row>
    <row r="454" spans="13:17" ht="20.100000000000001" customHeight="1">
      <c r="M454" s="119"/>
      <c r="N454" s="119"/>
      <c r="O454" s="119"/>
      <c r="P454" s="119"/>
      <c r="Q454" s="119"/>
    </row>
    <row r="455" spans="13:17" ht="20.100000000000001" customHeight="1">
      <c r="M455" s="119"/>
      <c r="N455" s="119"/>
      <c r="O455" s="119"/>
      <c r="P455" s="119"/>
      <c r="Q455" s="119"/>
    </row>
    <row r="456" spans="13:17" ht="20.100000000000001" customHeight="1">
      <c r="M456" s="119"/>
      <c r="N456" s="119"/>
      <c r="O456" s="119"/>
      <c r="P456" s="119"/>
      <c r="Q456" s="119"/>
    </row>
    <row r="457" spans="13:17" ht="20.100000000000001" customHeight="1">
      <c r="M457" s="119"/>
      <c r="N457" s="119"/>
      <c r="O457" s="119"/>
      <c r="P457" s="119"/>
      <c r="Q457" s="119"/>
    </row>
    <row r="458" spans="13:17" ht="20.100000000000001" customHeight="1">
      <c r="M458" s="119"/>
      <c r="N458" s="119"/>
      <c r="O458" s="119"/>
      <c r="P458" s="119"/>
      <c r="Q458" s="119"/>
    </row>
    <row r="459" spans="13:17" ht="20.100000000000001" customHeight="1">
      <c r="M459" s="119"/>
      <c r="N459" s="119"/>
      <c r="O459" s="119"/>
      <c r="P459" s="119"/>
      <c r="Q459" s="119"/>
    </row>
    <row r="460" spans="13:17" ht="20.100000000000001" customHeight="1">
      <c r="M460" s="119"/>
      <c r="N460" s="119"/>
      <c r="O460" s="119"/>
      <c r="P460" s="119"/>
      <c r="Q460" s="119"/>
    </row>
    <row r="461" spans="13:17" ht="20.100000000000001" customHeight="1">
      <c r="M461" s="119"/>
      <c r="N461" s="119"/>
      <c r="O461" s="119"/>
      <c r="P461" s="119"/>
      <c r="Q461" s="119"/>
    </row>
    <row r="462" spans="13:17" ht="20.100000000000001" customHeight="1">
      <c r="M462" s="119"/>
      <c r="N462" s="119"/>
      <c r="O462" s="119"/>
      <c r="P462" s="119"/>
      <c r="Q462" s="119"/>
    </row>
    <row r="463" spans="13:17" ht="20.100000000000001" customHeight="1">
      <c r="M463" s="119"/>
      <c r="N463" s="119"/>
      <c r="O463" s="119"/>
      <c r="P463" s="119"/>
      <c r="Q463" s="119"/>
    </row>
    <row r="464" spans="13:17" ht="20.100000000000001" customHeight="1">
      <c r="M464" s="119"/>
      <c r="N464" s="119"/>
      <c r="O464" s="119"/>
      <c r="P464" s="119"/>
      <c r="Q464" s="119"/>
    </row>
    <row r="465" spans="13:17" ht="20.100000000000001" customHeight="1">
      <c r="M465" s="119"/>
      <c r="N465" s="119"/>
      <c r="O465" s="119"/>
      <c r="P465" s="119"/>
      <c r="Q465" s="119"/>
    </row>
    <row r="466" spans="13:17" ht="20.100000000000001" customHeight="1">
      <c r="M466" s="119"/>
      <c r="N466" s="119"/>
      <c r="O466" s="119"/>
      <c r="P466" s="119"/>
      <c r="Q466" s="119"/>
    </row>
    <row r="467" spans="13:17" ht="20.100000000000001" customHeight="1">
      <c r="M467" s="119"/>
      <c r="N467" s="119"/>
      <c r="O467" s="119"/>
      <c r="P467" s="119"/>
      <c r="Q467" s="119"/>
    </row>
    <row r="468" spans="13:17" ht="20.100000000000001" customHeight="1">
      <c r="M468" s="119"/>
      <c r="N468" s="119"/>
      <c r="O468" s="119"/>
      <c r="P468" s="119"/>
      <c r="Q468" s="119"/>
    </row>
    <row r="469" spans="13:17" ht="20.100000000000001" customHeight="1">
      <c r="M469" s="119"/>
      <c r="N469" s="119"/>
      <c r="O469" s="119"/>
      <c r="P469" s="119"/>
      <c r="Q469" s="119"/>
    </row>
    <row r="470" spans="13:17" ht="20.100000000000001" customHeight="1">
      <c r="M470" s="119"/>
      <c r="N470" s="119"/>
      <c r="O470" s="119"/>
      <c r="P470" s="119"/>
      <c r="Q470" s="119"/>
    </row>
    <row r="471" spans="13:17" ht="20.100000000000001" customHeight="1">
      <c r="M471" s="119"/>
      <c r="N471" s="119"/>
      <c r="O471" s="119"/>
      <c r="P471" s="119"/>
      <c r="Q471" s="119"/>
    </row>
    <row r="472" spans="13:17" ht="20.100000000000001" customHeight="1">
      <c r="M472" s="119"/>
      <c r="N472" s="119"/>
      <c r="O472" s="119"/>
      <c r="P472" s="119"/>
      <c r="Q472" s="119"/>
    </row>
    <row r="473" spans="13:17" ht="20.100000000000001" customHeight="1">
      <c r="M473" s="119"/>
      <c r="N473" s="119"/>
      <c r="O473" s="119"/>
      <c r="P473" s="119"/>
      <c r="Q473" s="119"/>
    </row>
    <row r="474" spans="13:17" ht="20.100000000000001" customHeight="1">
      <c r="M474" s="119"/>
      <c r="N474" s="119"/>
      <c r="O474" s="119"/>
      <c r="P474" s="119"/>
      <c r="Q474" s="119"/>
    </row>
    <row r="475" spans="13:17" ht="20.100000000000001" customHeight="1">
      <c r="M475" s="119"/>
      <c r="N475" s="119"/>
      <c r="O475" s="119"/>
      <c r="P475" s="119"/>
      <c r="Q475" s="119"/>
    </row>
    <row r="476" spans="13:17" ht="20.100000000000001" customHeight="1">
      <c r="M476" s="119"/>
      <c r="N476" s="119"/>
      <c r="O476" s="119"/>
      <c r="P476" s="119"/>
      <c r="Q476" s="119"/>
    </row>
    <row r="477" spans="13:17" ht="20.100000000000001" customHeight="1">
      <c r="M477" s="119"/>
      <c r="N477" s="119"/>
      <c r="O477" s="119"/>
      <c r="P477" s="119"/>
      <c r="Q477" s="119"/>
    </row>
    <row r="478" spans="13:17" ht="20.100000000000001" customHeight="1">
      <c r="M478" s="119"/>
      <c r="N478" s="119"/>
      <c r="O478" s="119"/>
      <c r="P478" s="119"/>
      <c r="Q478" s="119"/>
    </row>
    <row r="479" spans="13:17" ht="20.100000000000001" customHeight="1">
      <c r="M479" s="119"/>
      <c r="N479" s="119"/>
      <c r="O479" s="119"/>
      <c r="P479" s="119"/>
      <c r="Q479" s="119"/>
    </row>
    <row r="480" spans="13:17" ht="20.100000000000001" customHeight="1">
      <c r="M480" s="119"/>
      <c r="N480" s="119"/>
      <c r="O480" s="119"/>
      <c r="P480" s="119"/>
      <c r="Q480" s="119"/>
    </row>
    <row r="481" spans="13:17" ht="20.100000000000001" customHeight="1">
      <c r="M481" s="119"/>
      <c r="N481" s="119"/>
      <c r="O481" s="119"/>
      <c r="P481" s="119"/>
      <c r="Q481" s="119"/>
    </row>
    <row r="482" spans="13:17" ht="20.100000000000001" customHeight="1">
      <c r="M482" s="119"/>
      <c r="N482" s="119"/>
      <c r="O482" s="119"/>
      <c r="P482" s="119"/>
      <c r="Q482" s="119"/>
    </row>
    <row r="483" spans="13:17" ht="20.100000000000001" customHeight="1">
      <c r="M483" s="119"/>
      <c r="N483" s="119"/>
      <c r="O483" s="119"/>
      <c r="P483" s="119"/>
      <c r="Q483" s="119"/>
    </row>
    <row r="484" spans="13:17" ht="20.100000000000001" customHeight="1">
      <c r="M484" s="119"/>
      <c r="N484" s="119"/>
      <c r="O484" s="119"/>
      <c r="P484" s="119"/>
      <c r="Q484" s="119"/>
    </row>
    <row r="485" spans="13:17" ht="20.100000000000001" customHeight="1">
      <c r="M485" s="119"/>
      <c r="N485" s="119"/>
      <c r="O485" s="119"/>
      <c r="P485" s="119"/>
      <c r="Q485" s="119"/>
    </row>
    <row r="486" spans="13:17" ht="20.100000000000001" customHeight="1">
      <c r="M486" s="119"/>
      <c r="N486" s="119"/>
      <c r="O486" s="119"/>
      <c r="P486" s="119"/>
      <c r="Q486" s="119"/>
    </row>
    <row r="487" spans="13:17" ht="20.100000000000001" customHeight="1">
      <c r="M487" s="119"/>
      <c r="N487" s="119"/>
      <c r="O487" s="119"/>
      <c r="P487" s="119"/>
      <c r="Q487" s="119"/>
    </row>
    <row r="488" spans="13:17" ht="20.100000000000001" customHeight="1">
      <c r="M488" s="119"/>
      <c r="N488" s="119"/>
      <c r="O488" s="119"/>
      <c r="P488" s="119"/>
      <c r="Q488" s="119"/>
    </row>
    <row r="489" spans="13:17" ht="20.100000000000001" customHeight="1">
      <c r="M489" s="119"/>
      <c r="N489" s="119"/>
      <c r="O489" s="119"/>
      <c r="P489" s="119"/>
      <c r="Q489" s="119"/>
    </row>
    <row r="490" spans="13:17" ht="20.100000000000001" customHeight="1">
      <c r="M490" s="119"/>
      <c r="N490" s="119"/>
      <c r="O490" s="119"/>
      <c r="P490" s="119"/>
      <c r="Q490" s="119"/>
    </row>
    <row r="491" spans="13:17" ht="20.100000000000001" customHeight="1">
      <c r="M491" s="119"/>
      <c r="N491" s="119"/>
      <c r="O491" s="119"/>
      <c r="P491" s="119"/>
      <c r="Q491" s="119"/>
    </row>
    <row r="492" spans="13:17" ht="20.100000000000001" customHeight="1">
      <c r="M492" s="119"/>
      <c r="N492" s="119"/>
      <c r="O492" s="119"/>
      <c r="P492" s="119"/>
      <c r="Q492" s="119"/>
    </row>
    <row r="493" spans="13:17" ht="20.100000000000001" customHeight="1">
      <c r="M493" s="119"/>
      <c r="N493" s="119"/>
      <c r="O493" s="119"/>
      <c r="P493" s="119"/>
      <c r="Q493" s="119"/>
    </row>
    <row r="494" spans="13:17" ht="20.100000000000001" customHeight="1">
      <c r="M494" s="119"/>
      <c r="N494" s="119"/>
      <c r="O494" s="119"/>
      <c r="P494" s="119"/>
      <c r="Q494" s="119"/>
    </row>
    <row r="495" spans="13:17" ht="20.100000000000001" customHeight="1">
      <c r="M495" s="119"/>
      <c r="N495" s="119"/>
      <c r="O495" s="119"/>
      <c r="P495" s="119"/>
      <c r="Q495" s="119"/>
    </row>
    <row r="496" spans="13:17" ht="20.100000000000001" customHeight="1">
      <c r="M496" s="119"/>
      <c r="N496" s="119"/>
      <c r="O496" s="119"/>
      <c r="P496" s="119"/>
      <c r="Q496" s="119"/>
    </row>
    <row r="497" spans="13:17" ht="20.100000000000001" customHeight="1">
      <c r="M497" s="119"/>
      <c r="N497" s="119"/>
      <c r="O497" s="119"/>
      <c r="P497" s="119"/>
      <c r="Q497" s="119"/>
    </row>
    <row r="498" spans="13:17" ht="20.100000000000001" customHeight="1">
      <c r="M498" s="119"/>
      <c r="N498" s="119"/>
      <c r="O498" s="119"/>
      <c r="P498" s="119"/>
      <c r="Q498" s="119"/>
    </row>
    <row r="499" spans="13:17" ht="20.100000000000001" customHeight="1">
      <c r="M499" s="119"/>
      <c r="N499" s="119"/>
      <c r="O499" s="119"/>
      <c r="P499" s="119"/>
      <c r="Q499" s="119"/>
    </row>
    <row r="500" spans="13:17" ht="20.100000000000001" customHeight="1">
      <c r="M500" s="119"/>
      <c r="N500" s="119"/>
      <c r="O500" s="119"/>
      <c r="P500" s="119"/>
      <c r="Q500" s="119"/>
    </row>
    <row r="501" spans="13:17" ht="20.100000000000001" customHeight="1">
      <c r="M501" s="119"/>
      <c r="N501" s="119"/>
      <c r="O501" s="119"/>
      <c r="P501" s="119"/>
      <c r="Q501" s="119"/>
    </row>
    <row r="502" spans="13:17" ht="20.100000000000001" customHeight="1">
      <c r="M502" s="119"/>
      <c r="N502" s="119"/>
      <c r="O502" s="119"/>
      <c r="P502" s="119"/>
      <c r="Q502" s="119"/>
    </row>
    <row r="503" spans="13:17" ht="20.100000000000001" customHeight="1">
      <c r="M503" s="119"/>
      <c r="N503" s="119"/>
      <c r="O503" s="119"/>
      <c r="P503" s="119"/>
      <c r="Q503" s="119"/>
    </row>
    <row r="504" spans="13:17" ht="20.100000000000001" customHeight="1">
      <c r="M504" s="119"/>
      <c r="N504" s="119"/>
      <c r="O504" s="119"/>
      <c r="P504" s="119"/>
      <c r="Q504" s="119"/>
    </row>
    <row r="505" spans="13:17" ht="20.100000000000001" customHeight="1">
      <c r="M505" s="119"/>
      <c r="N505" s="119"/>
      <c r="O505" s="119"/>
      <c r="P505" s="119"/>
      <c r="Q505" s="119"/>
    </row>
    <row r="506" spans="13:17" ht="20.100000000000001" customHeight="1">
      <c r="M506" s="119"/>
      <c r="N506" s="119"/>
      <c r="O506" s="119"/>
      <c r="P506" s="119"/>
      <c r="Q506" s="119"/>
    </row>
    <row r="507" spans="13:17" ht="20.100000000000001" customHeight="1">
      <c r="M507" s="119"/>
      <c r="N507" s="119"/>
      <c r="O507" s="119"/>
      <c r="P507" s="119"/>
      <c r="Q507" s="119"/>
    </row>
    <row r="508" spans="13:17" ht="20.100000000000001" customHeight="1">
      <c r="M508" s="119"/>
      <c r="N508" s="119"/>
      <c r="O508" s="119"/>
      <c r="P508" s="119"/>
      <c r="Q508" s="119"/>
    </row>
    <row r="509" spans="13:17" ht="20.100000000000001" customHeight="1">
      <c r="M509" s="119"/>
      <c r="N509" s="119"/>
      <c r="O509" s="119"/>
      <c r="P509" s="119"/>
      <c r="Q509" s="119"/>
    </row>
    <row r="510" spans="13:17" ht="20.100000000000001" customHeight="1">
      <c r="M510" s="119"/>
      <c r="N510" s="119"/>
      <c r="O510" s="119"/>
      <c r="P510" s="119"/>
      <c r="Q510" s="119"/>
    </row>
    <row r="511" spans="13:17" ht="20.100000000000001" customHeight="1">
      <c r="M511" s="119"/>
      <c r="N511" s="119"/>
      <c r="O511" s="119"/>
      <c r="P511" s="119"/>
      <c r="Q511" s="119"/>
    </row>
    <row r="512" spans="13:17" ht="20.100000000000001" customHeight="1">
      <c r="M512" s="119"/>
      <c r="N512" s="119"/>
      <c r="O512" s="119"/>
      <c r="P512" s="119"/>
      <c r="Q512" s="119"/>
    </row>
    <row r="513" spans="13:17" ht="20.100000000000001" customHeight="1">
      <c r="M513" s="119"/>
      <c r="N513" s="119"/>
      <c r="O513" s="119"/>
      <c r="P513" s="119"/>
      <c r="Q513" s="119"/>
    </row>
    <row r="514" spans="13:17" ht="20.100000000000001" customHeight="1">
      <c r="M514" s="119"/>
      <c r="N514" s="119"/>
      <c r="O514" s="119"/>
      <c r="P514" s="119"/>
      <c r="Q514" s="119"/>
    </row>
    <row r="515" spans="13:17" ht="20.100000000000001" customHeight="1">
      <c r="M515" s="119"/>
      <c r="N515" s="119"/>
      <c r="O515" s="119"/>
      <c r="P515" s="119"/>
      <c r="Q515" s="119"/>
    </row>
    <row r="516" spans="13:17" ht="20.100000000000001" customHeight="1">
      <c r="M516" s="119"/>
      <c r="N516" s="119"/>
      <c r="O516" s="119"/>
      <c r="P516" s="119"/>
      <c r="Q516" s="119"/>
    </row>
    <row r="517" spans="13:17" ht="20.100000000000001" customHeight="1">
      <c r="M517" s="119"/>
      <c r="N517" s="119"/>
      <c r="O517" s="119"/>
      <c r="P517" s="119"/>
      <c r="Q517" s="119"/>
    </row>
    <row r="518" spans="13:17" ht="20.100000000000001" customHeight="1">
      <c r="M518" s="119"/>
      <c r="N518" s="119"/>
      <c r="O518" s="119"/>
      <c r="P518" s="119"/>
      <c r="Q518" s="119"/>
    </row>
    <row r="519" spans="13:17" ht="20.100000000000001" customHeight="1">
      <c r="M519" s="119"/>
      <c r="N519" s="119"/>
      <c r="O519" s="119"/>
      <c r="P519" s="119"/>
      <c r="Q519" s="119"/>
    </row>
    <row r="520" spans="13:17" ht="20.100000000000001" customHeight="1">
      <c r="M520" s="119"/>
      <c r="N520" s="119"/>
      <c r="O520" s="119"/>
      <c r="P520" s="119"/>
      <c r="Q520" s="119"/>
    </row>
    <row r="521" spans="13:17" ht="20.100000000000001" customHeight="1">
      <c r="M521" s="119"/>
      <c r="N521" s="119"/>
      <c r="O521" s="119"/>
      <c r="P521" s="119"/>
      <c r="Q521" s="119"/>
    </row>
    <row r="522" spans="13:17" ht="20.100000000000001" customHeight="1">
      <c r="M522" s="119"/>
      <c r="N522" s="119"/>
      <c r="O522" s="119"/>
      <c r="P522" s="119"/>
      <c r="Q522" s="119"/>
    </row>
    <row r="523" spans="13:17" ht="20.100000000000001" customHeight="1">
      <c r="M523" s="119"/>
      <c r="N523" s="119"/>
      <c r="O523" s="119"/>
      <c r="P523" s="119"/>
      <c r="Q523" s="119"/>
    </row>
    <row r="524" spans="13:17" ht="20.100000000000001" customHeight="1">
      <c r="M524" s="119"/>
      <c r="N524" s="119"/>
      <c r="O524" s="119"/>
      <c r="P524" s="119"/>
      <c r="Q524" s="119"/>
    </row>
    <row r="525" spans="13:17" ht="20.100000000000001" customHeight="1">
      <c r="M525" s="119"/>
      <c r="N525" s="119"/>
      <c r="O525" s="119"/>
      <c r="P525" s="119"/>
      <c r="Q525" s="119"/>
    </row>
    <row r="526" spans="13:17" ht="20.100000000000001" customHeight="1">
      <c r="M526" s="119"/>
      <c r="N526" s="119"/>
      <c r="O526" s="119"/>
      <c r="P526" s="119"/>
      <c r="Q526" s="119"/>
    </row>
    <row r="527" spans="13:17" ht="20.100000000000001" customHeight="1">
      <c r="M527" s="119"/>
      <c r="N527" s="119"/>
      <c r="O527" s="119"/>
      <c r="P527" s="119"/>
      <c r="Q527" s="119"/>
    </row>
    <row r="528" spans="13:17" ht="20.100000000000001" customHeight="1">
      <c r="M528" s="119"/>
      <c r="N528" s="119"/>
      <c r="O528" s="119"/>
      <c r="P528" s="119"/>
      <c r="Q528" s="119"/>
    </row>
    <row r="529" spans="13:17" ht="20.100000000000001" customHeight="1">
      <c r="M529" s="119"/>
      <c r="N529" s="119"/>
      <c r="O529" s="119"/>
      <c r="P529" s="119"/>
      <c r="Q529" s="119"/>
    </row>
    <row r="530" spans="13:17" ht="20.100000000000001" customHeight="1">
      <c r="M530" s="119"/>
      <c r="N530" s="119"/>
      <c r="O530" s="119"/>
      <c r="P530" s="119"/>
      <c r="Q530" s="119"/>
    </row>
    <row r="531" spans="13:17" ht="20.100000000000001" customHeight="1">
      <c r="M531" s="119"/>
      <c r="N531" s="119"/>
      <c r="O531" s="119"/>
      <c r="P531" s="119"/>
      <c r="Q531" s="119"/>
    </row>
    <row r="532" spans="13:17" ht="20.100000000000001" customHeight="1">
      <c r="M532" s="119"/>
      <c r="N532" s="119"/>
      <c r="O532" s="119"/>
      <c r="P532" s="119"/>
      <c r="Q532" s="119"/>
    </row>
    <row r="533" spans="13:17" ht="20.100000000000001" customHeight="1">
      <c r="M533" s="119"/>
      <c r="N533" s="119"/>
      <c r="O533" s="119"/>
      <c r="P533" s="119"/>
      <c r="Q533" s="119"/>
    </row>
    <row r="534" spans="13:17" ht="20.100000000000001" customHeight="1">
      <c r="M534" s="119"/>
      <c r="N534" s="119"/>
      <c r="O534" s="119"/>
      <c r="P534" s="119"/>
      <c r="Q534" s="119"/>
    </row>
    <row r="535" spans="13:17" ht="20.100000000000001" customHeight="1">
      <c r="M535" s="119"/>
      <c r="N535" s="119"/>
      <c r="O535" s="119"/>
      <c r="P535" s="119"/>
      <c r="Q535" s="119"/>
    </row>
    <row r="536" spans="13:17" ht="20.100000000000001" customHeight="1">
      <c r="M536" s="119"/>
      <c r="N536" s="119"/>
      <c r="O536" s="119"/>
      <c r="P536" s="119"/>
      <c r="Q536" s="119"/>
    </row>
    <row r="537" spans="13:17" ht="20.100000000000001" customHeight="1">
      <c r="M537" s="119"/>
      <c r="N537" s="119"/>
      <c r="O537" s="119"/>
      <c r="P537" s="119"/>
      <c r="Q537" s="119"/>
    </row>
    <row r="538" spans="13:17" ht="20.100000000000001" customHeight="1">
      <c r="M538" s="119"/>
      <c r="N538" s="119"/>
      <c r="O538" s="119"/>
      <c r="P538" s="119"/>
      <c r="Q538" s="119"/>
    </row>
    <row r="539" spans="13:17" ht="20.100000000000001" customHeight="1">
      <c r="M539" s="119"/>
      <c r="N539" s="119"/>
      <c r="O539" s="119"/>
      <c r="P539" s="119"/>
      <c r="Q539" s="119"/>
    </row>
    <row r="540" spans="13:17" ht="20.100000000000001" customHeight="1">
      <c r="M540" s="119"/>
      <c r="N540" s="119"/>
      <c r="O540" s="119"/>
      <c r="P540" s="119"/>
      <c r="Q540" s="119"/>
    </row>
    <row r="541" spans="13:17" ht="20.100000000000001" customHeight="1">
      <c r="M541" s="119"/>
      <c r="N541" s="119"/>
      <c r="O541" s="119"/>
      <c r="P541" s="119"/>
      <c r="Q541" s="119"/>
    </row>
    <row r="542" spans="13:17" ht="20.100000000000001" customHeight="1">
      <c r="M542" s="119"/>
      <c r="N542" s="119"/>
      <c r="O542" s="119"/>
      <c r="P542" s="119"/>
      <c r="Q542" s="119"/>
    </row>
    <row r="543" spans="13:17" ht="20.100000000000001" customHeight="1">
      <c r="M543" s="119"/>
      <c r="N543" s="119"/>
      <c r="O543" s="119"/>
      <c r="P543" s="119"/>
      <c r="Q543" s="119"/>
    </row>
    <row r="544" spans="13:17" ht="20.100000000000001" customHeight="1">
      <c r="M544" s="119"/>
      <c r="N544" s="119"/>
      <c r="O544" s="119"/>
      <c r="P544" s="119"/>
      <c r="Q544" s="119"/>
    </row>
    <row r="545" spans="13:17" ht="20.100000000000001" customHeight="1">
      <c r="M545" s="119"/>
      <c r="N545" s="119"/>
      <c r="O545" s="119"/>
      <c r="P545" s="119"/>
      <c r="Q545" s="119"/>
    </row>
    <row r="546" spans="13:17" ht="20.100000000000001" customHeight="1">
      <c r="M546" s="119"/>
      <c r="N546" s="119"/>
      <c r="O546" s="119"/>
      <c r="P546" s="119"/>
      <c r="Q546" s="119"/>
    </row>
    <row r="547" spans="13:17" ht="20.100000000000001" customHeight="1">
      <c r="M547" s="119"/>
      <c r="N547" s="119"/>
      <c r="O547" s="119"/>
      <c r="P547" s="119"/>
      <c r="Q547" s="119"/>
    </row>
    <row r="548" spans="13:17" ht="20.100000000000001" customHeight="1">
      <c r="M548" s="119"/>
      <c r="N548" s="119"/>
      <c r="O548" s="119"/>
      <c r="P548" s="119"/>
      <c r="Q548" s="119"/>
    </row>
    <row r="549" spans="13:17" ht="20.100000000000001" customHeight="1">
      <c r="M549" s="119"/>
      <c r="N549" s="119"/>
      <c r="O549" s="119"/>
      <c r="P549" s="119"/>
      <c r="Q549" s="119"/>
    </row>
    <row r="550" spans="13:17" ht="20.100000000000001" customHeight="1">
      <c r="M550" s="119"/>
      <c r="N550" s="119"/>
      <c r="O550" s="119"/>
      <c r="P550" s="119"/>
      <c r="Q550" s="119"/>
    </row>
    <row r="551" spans="13:17" ht="20.100000000000001" customHeight="1">
      <c r="M551" s="119"/>
      <c r="N551" s="119"/>
      <c r="O551" s="119"/>
      <c r="P551" s="119"/>
      <c r="Q551" s="119"/>
    </row>
    <row r="552" spans="13:17" ht="20.100000000000001" customHeight="1">
      <c r="M552" s="119"/>
      <c r="N552" s="119"/>
      <c r="O552" s="119"/>
      <c r="P552" s="119"/>
      <c r="Q552" s="119"/>
    </row>
    <row r="553" spans="13:17" ht="20.100000000000001" customHeight="1">
      <c r="M553" s="119"/>
      <c r="N553" s="119"/>
      <c r="O553" s="119"/>
      <c r="P553" s="119"/>
      <c r="Q553" s="119"/>
    </row>
    <row r="554" spans="13:17" ht="20.100000000000001" customHeight="1">
      <c r="M554" s="119"/>
      <c r="N554" s="119"/>
      <c r="O554" s="119"/>
      <c r="P554" s="119"/>
      <c r="Q554" s="119"/>
    </row>
    <row r="555" spans="13:17" ht="20.100000000000001" customHeight="1">
      <c r="M555" s="119"/>
      <c r="N555" s="119"/>
      <c r="O555" s="119"/>
      <c r="P555" s="119"/>
      <c r="Q555" s="119"/>
    </row>
    <row r="556" spans="13:17" ht="20.100000000000001" customHeight="1">
      <c r="M556" s="119"/>
      <c r="N556" s="119"/>
      <c r="O556" s="119"/>
      <c r="P556" s="119"/>
      <c r="Q556" s="119"/>
    </row>
    <row r="557" spans="13:17" ht="20.100000000000001" customHeight="1">
      <c r="M557" s="119"/>
      <c r="N557" s="119"/>
      <c r="O557" s="119"/>
      <c r="P557" s="119"/>
      <c r="Q557" s="119"/>
    </row>
    <row r="558" spans="13:17" ht="20.100000000000001" customHeight="1">
      <c r="M558" s="119"/>
      <c r="N558" s="119"/>
      <c r="O558" s="119"/>
      <c r="P558" s="119"/>
      <c r="Q558" s="119"/>
    </row>
    <row r="559" spans="13:17" ht="20.100000000000001" customHeight="1">
      <c r="M559" s="119"/>
      <c r="N559" s="119"/>
      <c r="O559" s="119"/>
      <c r="P559" s="119"/>
      <c r="Q559" s="119"/>
    </row>
    <row r="560" spans="13:17" ht="20.100000000000001" customHeight="1">
      <c r="M560" s="119"/>
      <c r="N560" s="119"/>
      <c r="O560" s="119"/>
      <c r="P560" s="119"/>
      <c r="Q560" s="119"/>
    </row>
    <row r="561" spans="13:17" ht="20.100000000000001" customHeight="1">
      <c r="M561" s="119"/>
      <c r="N561" s="119"/>
      <c r="O561" s="119"/>
      <c r="P561" s="119"/>
      <c r="Q561" s="119"/>
    </row>
    <row r="562" spans="13:17" ht="20.100000000000001" customHeight="1">
      <c r="M562" s="119"/>
      <c r="N562" s="119"/>
      <c r="O562" s="119"/>
      <c r="P562" s="119"/>
      <c r="Q562" s="119"/>
    </row>
    <row r="563" spans="13:17" ht="20.100000000000001" customHeight="1">
      <c r="M563" s="119"/>
      <c r="N563" s="119"/>
      <c r="O563" s="119"/>
      <c r="P563" s="119"/>
      <c r="Q563" s="119"/>
    </row>
    <row r="564" spans="13:17" ht="20.100000000000001" customHeight="1">
      <c r="M564" s="119"/>
      <c r="N564" s="119"/>
      <c r="O564" s="119"/>
      <c r="P564" s="119"/>
      <c r="Q564" s="119"/>
    </row>
    <row r="565" spans="13:17" ht="20.100000000000001" customHeight="1">
      <c r="M565" s="119"/>
      <c r="N565" s="119"/>
      <c r="O565" s="119"/>
      <c r="P565" s="119"/>
      <c r="Q565" s="119"/>
    </row>
    <row r="566" spans="13:17" ht="20.100000000000001" customHeight="1">
      <c r="M566" s="119"/>
      <c r="N566" s="119"/>
      <c r="O566" s="119"/>
      <c r="P566" s="119"/>
      <c r="Q566" s="119"/>
    </row>
    <row r="567" spans="13:17" ht="20.100000000000001" customHeight="1">
      <c r="M567" s="119"/>
      <c r="N567" s="119"/>
      <c r="O567" s="119"/>
      <c r="P567" s="119"/>
      <c r="Q567" s="119"/>
    </row>
    <row r="568" spans="13:17" ht="20.100000000000001" customHeight="1">
      <c r="M568" s="119"/>
      <c r="N568" s="119"/>
      <c r="O568" s="119"/>
      <c r="P568" s="119"/>
      <c r="Q568" s="119"/>
    </row>
    <row r="569" spans="13:17" ht="20.100000000000001" customHeight="1">
      <c r="M569" s="119"/>
      <c r="N569" s="119"/>
      <c r="O569" s="119"/>
      <c r="P569" s="119"/>
      <c r="Q569" s="119"/>
    </row>
    <row r="570" spans="13:17" ht="20.100000000000001" customHeight="1">
      <c r="M570" s="119"/>
      <c r="N570" s="119"/>
      <c r="O570" s="119"/>
      <c r="P570" s="119"/>
      <c r="Q570" s="119"/>
    </row>
    <row r="571" spans="13:17" ht="20.100000000000001" customHeight="1">
      <c r="M571" s="119"/>
      <c r="N571" s="119"/>
      <c r="O571" s="119"/>
      <c r="P571" s="119"/>
      <c r="Q571" s="119"/>
    </row>
    <row r="572" spans="13:17" ht="20.100000000000001" customHeight="1">
      <c r="M572" s="119"/>
      <c r="N572" s="119"/>
      <c r="O572" s="119"/>
      <c r="P572" s="119"/>
      <c r="Q572" s="119"/>
    </row>
    <row r="573" spans="13:17" ht="20.100000000000001" customHeight="1">
      <c r="M573" s="119"/>
      <c r="N573" s="119"/>
      <c r="O573" s="119"/>
      <c r="P573" s="119"/>
      <c r="Q573" s="119"/>
    </row>
    <row r="574" spans="13:17" ht="20.100000000000001" customHeight="1">
      <c r="M574" s="119"/>
      <c r="N574" s="119"/>
      <c r="O574" s="119"/>
      <c r="P574" s="119"/>
      <c r="Q574" s="119"/>
    </row>
    <row r="575" spans="13:17" ht="20.100000000000001" customHeight="1">
      <c r="M575" s="119"/>
      <c r="N575" s="119"/>
      <c r="O575" s="119"/>
      <c r="P575" s="119"/>
      <c r="Q575" s="119"/>
    </row>
    <row r="576" spans="13:17" ht="20.100000000000001" customHeight="1">
      <c r="M576" s="119"/>
      <c r="N576" s="119"/>
      <c r="O576" s="119"/>
      <c r="P576" s="119"/>
      <c r="Q576" s="119"/>
    </row>
    <row r="577" spans="13:17" ht="20.100000000000001" customHeight="1">
      <c r="M577" s="119"/>
      <c r="N577" s="119"/>
      <c r="O577" s="119"/>
      <c r="P577" s="119"/>
      <c r="Q577" s="119"/>
    </row>
    <row r="578" spans="13:17" ht="20.100000000000001" customHeight="1">
      <c r="M578" s="119"/>
      <c r="N578" s="119"/>
      <c r="O578" s="119"/>
      <c r="P578" s="119"/>
      <c r="Q578" s="119"/>
    </row>
    <row r="579" spans="13:17" ht="20.100000000000001" customHeight="1">
      <c r="M579" s="119"/>
      <c r="N579" s="119"/>
      <c r="O579" s="119"/>
      <c r="P579" s="119"/>
      <c r="Q579" s="119"/>
    </row>
    <row r="580" spans="13:17" ht="20.100000000000001" customHeight="1">
      <c r="M580" s="119"/>
      <c r="N580" s="119"/>
      <c r="O580" s="119"/>
      <c r="P580" s="119"/>
      <c r="Q580" s="119"/>
    </row>
    <row r="581" spans="13:17" ht="20.100000000000001" customHeight="1">
      <c r="M581" s="119"/>
      <c r="N581" s="119"/>
      <c r="O581" s="119"/>
      <c r="P581" s="119"/>
      <c r="Q581" s="119"/>
    </row>
    <row r="582" spans="13:17" ht="20.100000000000001" customHeight="1">
      <c r="M582" s="119"/>
      <c r="N582" s="119"/>
      <c r="O582" s="119"/>
      <c r="P582" s="119"/>
      <c r="Q582" s="119"/>
    </row>
    <row r="583" spans="13:17" ht="20.100000000000001" customHeight="1">
      <c r="M583" s="119"/>
      <c r="N583" s="119"/>
      <c r="O583" s="119"/>
      <c r="P583" s="119"/>
      <c r="Q583" s="119"/>
    </row>
    <row r="584" spans="13:17" ht="20.100000000000001" customHeight="1">
      <c r="M584" s="119"/>
      <c r="N584" s="119"/>
      <c r="O584" s="119"/>
      <c r="P584" s="119"/>
      <c r="Q584" s="119"/>
    </row>
    <row r="585" spans="13:17" ht="20.100000000000001" customHeight="1">
      <c r="M585" s="119"/>
      <c r="N585" s="119"/>
      <c r="O585" s="119"/>
      <c r="P585" s="119"/>
      <c r="Q585" s="119"/>
    </row>
    <row r="586" spans="13:17" ht="20.100000000000001" customHeight="1">
      <c r="M586" s="119"/>
      <c r="N586" s="119"/>
      <c r="O586" s="119"/>
      <c r="P586" s="119"/>
      <c r="Q586" s="119"/>
    </row>
    <row r="587" spans="13:17" ht="20.100000000000001" customHeight="1">
      <c r="M587" s="119"/>
      <c r="N587" s="119"/>
      <c r="O587" s="119"/>
      <c r="P587" s="119"/>
      <c r="Q587" s="119"/>
    </row>
    <row r="588" spans="13:17" ht="20.100000000000001" customHeight="1">
      <c r="M588" s="119"/>
      <c r="N588" s="119"/>
      <c r="O588" s="119"/>
      <c r="P588" s="119"/>
      <c r="Q588" s="119"/>
    </row>
    <row r="589" spans="13:17" ht="20.100000000000001" customHeight="1">
      <c r="M589" s="119"/>
      <c r="N589" s="119"/>
      <c r="O589" s="119"/>
      <c r="P589" s="119"/>
      <c r="Q589" s="119"/>
    </row>
    <row r="590" spans="13:17" ht="20.100000000000001" customHeight="1">
      <c r="M590" s="119"/>
      <c r="N590" s="119"/>
      <c r="O590" s="119"/>
      <c r="P590" s="119"/>
      <c r="Q590" s="119"/>
    </row>
    <row r="591" spans="13:17" ht="20.100000000000001" customHeight="1">
      <c r="M591" s="119"/>
      <c r="N591" s="119"/>
      <c r="O591" s="119"/>
      <c r="P591" s="119"/>
      <c r="Q591" s="119"/>
    </row>
    <row r="592" spans="13:17" ht="20.100000000000001" customHeight="1">
      <c r="M592" s="119"/>
      <c r="N592" s="119"/>
      <c r="O592" s="119"/>
      <c r="P592" s="119"/>
      <c r="Q592" s="119"/>
    </row>
    <row r="593" spans="13:17" ht="20.100000000000001" customHeight="1">
      <c r="M593" s="119"/>
      <c r="N593" s="119"/>
      <c r="O593" s="119"/>
      <c r="P593" s="119"/>
      <c r="Q593" s="119"/>
    </row>
    <row r="594" spans="13:17" ht="20.100000000000001" customHeight="1">
      <c r="M594" s="119"/>
      <c r="N594" s="119"/>
      <c r="O594" s="119"/>
      <c r="P594" s="119"/>
      <c r="Q594" s="119"/>
    </row>
    <row r="595" spans="13:17" ht="20.100000000000001" customHeight="1">
      <c r="M595" s="119"/>
      <c r="N595" s="119"/>
      <c r="O595" s="119"/>
      <c r="P595" s="119"/>
      <c r="Q595" s="119"/>
    </row>
    <row r="596" spans="13:17" ht="20.100000000000001" customHeight="1">
      <c r="M596" s="119"/>
      <c r="N596" s="119"/>
      <c r="O596" s="119"/>
      <c r="P596" s="119"/>
      <c r="Q596" s="119"/>
    </row>
    <row r="597" spans="13:17" ht="20.100000000000001" customHeight="1">
      <c r="M597" s="119"/>
      <c r="N597" s="119"/>
      <c r="O597" s="119"/>
      <c r="P597" s="119"/>
      <c r="Q597" s="119"/>
    </row>
    <row r="598" spans="13:17" ht="20.100000000000001" customHeight="1">
      <c r="M598" s="119"/>
      <c r="N598" s="119"/>
      <c r="O598" s="119"/>
      <c r="P598" s="119"/>
      <c r="Q598" s="119"/>
    </row>
    <row r="599" spans="13:17" ht="20.100000000000001" customHeight="1">
      <c r="M599" s="119"/>
      <c r="N599" s="119"/>
      <c r="O599" s="119"/>
      <c r="P599" s="119"/>
      <c r="Q599" s="119"/>
    </row>
    <row r="600" spans="13:17" ht="20.100000000000001" customHeight="1">
      <c r="M600" s="119"/>
      <c r="N600" s="119"/>
      <c r="O600" s="119"/>
      <c r="P600" s="119"/>
      <c r="Q600" s="119"/>
    </row>
    <row r="601" spans="13:17" ht="20.100000000000001" customHeight="1">
      <c r="M601" s="119"/>
      <c r="N601" s="119"/>
      <c r="O601" s="119"/>
      <c r="P601" s="119"/>
      <c r="Q601" s="119"/>
    </row>
    <row r="602" spans="13:17" ht="20.100000000000001" customHeight="1">
      <c r="M602" s="119"/>
      <c r="N602" s="119"/>
      <c r="O602" s="119"/>
      <c r="P602" s="119"/>
      <c r="Q602" s="119"/>
    </row>
    <row r="603" spans="13:17" ht="20.100000000000001" customHeight="1">
      <c r="M603" s="119"/>
      <c r="N603" s="119"/>
      <c r="O603" s="119"/>
      <c r="P603" s="119"/>
      <c r="Q603" s="119"/>
    </row>
    <row r="604" spans="13:17" ht="20.100000000000001" customHeight="1">
      <c r="M604" s="119"/>
      <c r="N604" s="119"/>
      <c r="O604" s="119"/>
      <c r="P604" s="119"/>
      <c r="Q604" s="119"/>
    </row>
    <row r="605" spans="13:17" ht="20.100000000000001" customHeight="1">
      <c r="M605" s="119"/>
      <c r="N605" s="119"/>
      <c r="O605" s="119"/>
      <c r="P605" s="119"/>
      <c r="Q605" s="119"/>
    </row>
    <row r="606" spans="13:17" ht="20.100000000000001" customHeight="1">
      <c r="M606" s="119"/>
      <c r="N606" s="119"/>
      <c r="O606" s="119"/>
      <c r="P606" s="119"/>
      <c r="Q606" s="119"/>
    </row>
    <row r="607" spans="13:17" ht="20.100000000000001" customHeight="1">
      <c r="M607" s="119"/>
      <c r="N607" s="119"/>
      <c r="O607" s="119"/>
      <c r="P607" s="119"/>
      <c r="Q607" s="119"/>
    </row>
    <row r="608" spans="13:17" ht="20.100000000000001" customHeight="1">
      <c r="M608" s="119"/>
      <c r="N608" s="119"/>
      <c r="O608" s="119"/>
      <c r="P608" s="119"/>
      <c r="Q608" s="119"/>
    </row>
    <row r="609" spans="13:17" ht="20.100000000000001" customHeight="1">
      <c r="M609" s="119"/>
      <c r="N609" s="119"/>
      <c r="O609" s="119"/>
      <c r="P609" s="119"/>
      <c r="Q609" s="119"/>
    </row>
    <row r="610" spans="13:17" ht="20.100000000000001" customHeight="1">
      <c r="M610" s="119"/>
      <c r="N610" s="119"/>
      <c r="O610" s="119"/>
      <c r="P610" s="119"/>
      <c r="Q610" s="119"/>
    </row>
    <row r="611" spans="13:17" ht="20.100000000000001" customHeight="1">
      <c r="M611" s="119"/>
      <c r="N611" s="119"/>
      <c r="O611" s="119"/>
      <c r="P611" s="119"/>
      <c r="Q611" s="119"/>
    </row>
    <row r="612" spans="13:17" ht="20.100000000000001" customHeight="1">
      <c r="M612" s="119"/>
      <c r="N612" s="119"/>
      <c r="O612" s="119"/>
      <c r="P612" s="119"/>
      <c r="Q612" s="119"/>
    </row>
    <row r="613" spans="13:17" ht="20.100000000000001" customHeight="1">
      <c r="M613" s="119"/>
      <c r="N613" s="119"/>
      <c r="O613" s="119"/>
      <c r="P613" s="119"/>
      <c r="Q613" s="119"/>
    </row>
    <row r="614" spans="13:17" ht="20.100000000000001" customHeight="1">
      <c r="M614" s="119"/>
      <c r="N614" s="119"/>
      <c r="O614" s="119"/>
      <c r="P614" s="119"/>
      <c r="Q614" s="119"/>
    </row>
    <row r="615" spans="13:17" ht="20.100000000000001" customHeight="1">
      <c r="M615" s="119"/>
      <c r="N615" s="119"/>
      <c r="O615" s="119"/>
      <c r="P615" s="119"/>
      <c r="Q615" s="119"/>
    </row>
    <row r="616" spans="13:17" ht="20.100000000000001" customHeight="1">
      <c r="M616" s="119"/>
      <c r="N616" s="119"/>
      <c r="O616" s="119"/>
      <c r="P616" s="119"/>
      <c r="Q616" s="119"/>
    </row>
    <row r="617" spans="13:17" ht="20.100000000000001" customHeight="1">
      <c r="M617" s="119"/>
      <c r="N617" s="119"/>
      <c r="O617" s="119"/>
      <c r="P617" s="119"/>
      <c r="Q617" s="119"/>
    </row>
    <row r="618" spans="13:17" ht="20.100000000000001" customHeight="1">
      <c r="M618" s="119"/>
      <c r="N618" s="119"/>
      <c r="O618" s="119"/>
      <c r="P618" s="119"/>
      <c r="Q618" s="119"/>
    </row>
    <row r="619" spans="13:17" ht="20.100000000000001" customHeight="1">
      <c r="M619" s="119"/>
      <c r="N619" s="119"/>
      <c r="O619" s="119"/>
      <c r="P619" s="119"/>
      <c r="Q619" s="119"/>
    </row>
    <row r="620" spans="13:17" ht="20.100000000000001" customHeight="1">
      <c r="M620" s="119"/>
      <c r="N620" s="119"/>
      <c r="O620" s="119"/>
      <c r="P620" s="119"/>
      <c r="Q620" s="119"/>
    </row>
    <row r="621" spans="13:17" ht="20.100000000000001" customHeight="1">
      <c r="M621" s="119"/>
      <c r="N621" s="119"/>
      <c r="O621" s="119"/>
      <c r="P621" s="119"/>
      <c r="Q621" s="119"/>
    </row>
    <row r="622" spans="13:17" ht="20.100000000000001" customHeight="1">
      <c r="M622" s="119"/>
      <c r="N622" s="119"/>
      <c r="O622" s="119"/>
      <c r="P622" s="119"/>
      <c r="Q622" s="119"/>
    </row>
    <row r="623" spans="13:17" ht="20.100000000000001" customHeight="1">
      <c r="M623" s="119"/>
      <c r="N623" s="119"/>
      <c r="O623" s="119"/>
      <c r="P623" s="119"/>
      <c r="Q623" s="119"/>
    </row>
    <row r="624" spans="13:17" ht="20.100000000000001" customHeight="1">
      <c r="M624" s="119"/>
      <c r="N624" s="119"/>
      <c r="O624" s="119"/>
      <c r="P624" s="119"/>
      <c r="Q624" s="119"/>
    </row>
    <row r="625" spans="13:17" ht="20.100000000000001" customHeight="1">
      <c r="M625" s="119"/>
      <c r="N625" s="119"/>
      <c r="O625" s="119"/>
      <c r="P625" s="119"/>
      <c r="Q625" s="119"/>
    </row>
    <row r="626" spans="13:17" ht="20.100000000000001" customHeight="1">
      <c r="M626" s="119"/>
      <c r="N626" s="119"/>
      <c r="O626" s="119"/>
      <c r="P626" s="119"/>
      <c r="Q626" s="119"/>
    </row>
    <row r="627" spans="13:17" ht="20.100000000000001" customHeight="1">
      <c r="M627" s="119"/>
      <c r="N627" s="119"/>
      <c r="O627" s="119"/>
      <c r="P627" s="119"/>
      <c r="Q627" s="119"/>
    </row>
    <row r="628" spans="13:17" ht="20.100000000000001" customHeight="1">
      <c r="M628" s="119"/>
      <c r="N628" s="119"/>
      <c r="O628" s="119"/>
      <c r="P628" s="119"/>
      <c r="Q628" s="119"/>
    </row>
    <row r="629" spans="13:17" ht="20.100000000000001" customHeight="1">
      <c r="M629" s="119"/>
      <c r="N629" s="119"/>
      <c r="O629" s="119"/>
      <c r="P629" s="119"/>
      <c r="Q629" s="119"/>
    </row>
    <row r="630" spans="13:17" ht="20.100000000000001" customHeight="1">
      <c r="M630" s="119"/>
      <c r="N630" s="119"/>
      <c r="O630" s="119"/>
      <c r="P630" s="119"/>
      <c r="Q630" s="119"/>
    </row>
    <row r="631" spans="13:17" ht="20.100000000000001" customHeight="1">
      <c r="M631" s="119"/>
      <c r="N631" s="119"/>
      <c r="O631" s="119"/>
      <c r="P631" s="119"/>
      <c r="Q631" s="119"/>
    </row>
    <row r="632" spans="13:17" ht="20.100000000000001" customHeight="1">
      <c r="M632" s="119"/>
      <c r="N632" s="119"/>
      <c r="O632" s="119"/>
      <c r="P632" s="119"/>
      <c r="Q632" s="119"/>
    </row>
    <row r="633" spans="13:17" ht="20.100000000000001" customHeight="1">
      <c r="M633" s="119"/>
      <c r="N633" s="119"/>
      <c r="O633" s="119"/>
      <c r="P633" s="119"/>
      <c r="Q633" s="119"/>
    </row>
    <row r="634" spans="13:17" ht="20.100000000000001" customHeight="1">
      <c r="M634" s="119"/>
      <c r="N634" s="119"/>
      <c r="O634" s="119"/>
      <c r="P634" s="119"/>
      <c r="Q634" s="119"/>
    </row>
    <row r="635" spans="13:17" ht="20.100000000000001" customHeight="1">
      <c r="M635" s="119"/>
      <c r="N635" s="119"/>
      <c r="O635" s="119"/>
      <c r="P635" s="119"/>
      <c r="Q635" s="119"/>
    </row>
    <row r="636" spans="13:17" ht="20.100000000000001" customHeight="1">
      <c r="M636" s="119"/>
      <c r="N636" s="119"/>
      <c r="O636" s="119"/>
      <c r="P636" s="119"/>
      <c r="Q636" s="119"/>
    </row>
    <row r="637" spans="13:17" ht="20.100000000000001" customHeight="1">
      <c r="M637" s="119"/>
      <c r="N637" s="119"/>
      <c r="O637" s="119"/>
      <c r="P637" s="119"/>
      <c r="Q637" s="119"/>
    </row>
    <row r="638" spans="13:17" ht="20.100000000000001" customHeight="1">
      <c r="M638" s="119"/>
      <c r="N638" s="119"/>
      <c r="O638" s="119"/>
      <c r="P638" s="119"/>
      <c r="Q638" s="119"/>
    </row>
    <row r="639" spans="13:17" ht="20.100000000000001" customHeight="1">
      <c r="M639" s="119"/>
      <c r="N639" s="119"/>
      <c r="O639" s="119"/>
      <c r="P639" s="119"/>
      <c r="Q639" s="119"/>
    </row>
    <row r="640" spans="13:17" ht="20.100000000000001" customHeight="1">
      <c r="M640" s="119"/>
      <c r="N640" s="119"/>
      <c r="O640" s="119"/>
      <c r="P640" s="119"/>
      <c r="Q640" s="119"/>
    </row>
    <row r="641" spans="13:17" ht="20.100000000000001" customHeight="1">
      <c r="M641" s="119"/>
      <c r="N641" s="119"/>
      <c r="O641" s="119"/>
      <c r="P641" s="119"/>
      <c r="Q641" s="119"/>
    </row>
    <row r="642" spans="13:17" ht="20.100000000000001" customHeight="1">
      <c r="M642" s="119"/>
      <c r="N642" s="119"/>
      <c r="O642" s="119"/>
      <c r="P642" s="119"/>
      <c r="Q642" s="119"/>
    </row>
    <row r="643" spans="13:17" ht="20.100000000000001" customHeight="1">
      <c r="M643" s="119"/>
      <c r="N643" s="119"/>
      <c r="O643" s="119"/>
      <c r="P643" s="119"/>
      <c r="Q643" s="119"/>
    </row>
    <row r="644" spans="13:17" ht="20.100000000000001" customHeight="1">
      <c r="M644" s="119"/>
      <c r="N644" s="119"/>
      <c r="O644" s="119"/>
      <c r="P644" s="119"/>
      <c r="Q644" s="119"/>
    </row>
    <row r="645" spans="13:17" ht="20.100000000000001" customHeight="1">
      <c r="M645" s="119"/>
      <c r="N645" s="119"/>
      <c r="O645" s="119"/>
      <c r="P645" s="119"/>
      <c r="Q645" s="119"/>
    </row>
    <row r="646" spans="13:17" ht="20.100000000000001" customHeight="1">
      <c r="M646" s="119"/>
      <c r="N646" s="119"/>
      <c r="O646" s="119"/>
      <c r="P646" s="119"/>
      <c r="Q646" s="119"/>
    </row>
    <row r="647" spans="13:17" ht="20.100000000000001" customHeight="1">
      <c r="M647" s="119"/>
      <c r="N647" s="119"/>
      <c r="O647" s="119"/>
      <c r="P647" s="119"/>
      <c r="Q647" s="119"/>
    </row>
    <row r="648" spans="13:17" ht="20.100000000000001" customHeight="1">
      <c r="M648" s="119"/>
      <c r="N648" s="119"/>
      <c r="O648" s="119"/>
      <c r="P648" s="119"/>
      <c r="Q648" s="119"/>
    </row>
    <row r="649" spans="13:17" ht="20.100000000000001" customHeight="1">
      <c r="M649" s="119"/>
      <c r="N649" s="119"/>
      <c r="O649" s="119"/>
      <c r="P649" s="119"/>
      <c r="Q649" s="119"/>
    </row>
    <row r="650" spans="13:17" ht="20.100000000000001" customHeight="1">
      <c r="M650" s="119"/>
      <c r="N650" s="119"/>
      <c r="O650" s="119"/>
      <c r="P650" s="119"/>
      <c r="Q650" s="119"/>
    </row>
    <row r="651" spans="13:17" ht="20.100000000000001" customHeight="1">
      <c r="M651" s="119"/>
      <c r="N651" s="119"/>
      <c r="O651" s="119"/>
      <c r="P651" s="119"/>
      <c r="Q651" s="119"/>
    </row>
    <row r="652" spans="13:17" ht="20.100000000000001" customHeight="1">
      <c r="M652" s="119"/>
      <c r="N652" s="119"/>
      <c r="O652" s="119"/>
      <c r="P652" s="119"/>
      <c r="Q652" s="119"/>
    </row>
    <row r="653" spans="13:17" ht="20.100000000000001" customHeight="1">
      <c r="M653" s="119"/>
      <c r="N653" s="119"/>
      <c r="O653" s="119"/>
      <c r="P653" s="119"/>
      <c r="Q653" s="119"/>
    </row>
    <row r="654" spans="13:17" ht="20.100000000000001" customHeight="1">
      <c r="M654" s="119"/>
      <c r="N654" s="119"/>
      <c r="O654" s="119"/>
      <c r="P654" s="119"/>
      <c r="Q654" s="119"/>
    </row>
    <row r="655" spans="13:17" ht="20.100000000000001" customHeight="1">
      <c r="M655" s="119"/>
      <c r="N655" s="119"/>
      <c r="O655" s="119"/>
      <c r="P655" s="119"/>
      <c r="Q655" s="119"/>
    </row>
    <row r="656" spans="13:17" ht="20.100000000000001" customHeight="1">
      <c r="M656" s="119"/>
      <c r="N656" s="119"/>
      <c r="O656" s="119"/>
      <c r="P656" s="119"/>
      <c r="Q656" s="119"/>
    </row>
    <row r="657" spans="13:17" ht="20.100000000000001" customHeight="1">
      <c r="M657" s="119"/>
      <c r="N657" s="119"/>
      <c r="O657" s="119"/>
      <c r="P657" s="119"/>
      <c r="Q657" s="119"/>
    </row>
    <row r="658" spans="13:17" ht="20.100000000000001" customHeight="1">
      <c r="M658" s="119"/>
      <c r="N658" s="119"/>
      <c r="O658" s="119"/>
      <c r="P658" s="119"/>
      <c r="Q658" s="119"/>
    </row>
    <row r="659" spans="13:17" ht="20.100000000000001" customHeight="1">
      <c r="M659" s="119"/>
      <c r="N659" s="119"/>
      <c r="O659" s="119"/>
      <c r="P659" s="119"/>
      <c r="Q659" s="119"/>
    </row>
    <row r="660" spans="13:17" ht="20.100000000000001" customHeight="1">
      <c r="M660" s="119"/>
      <c r="N660" s="119"/>
      <c r="O660" s="119"/>
      <c r="P660" s="119"/>
      <c r="Q660" s="119"/>
    </row>
    <row r="661" spans="13:17" ht="20.100000000000001" customHeight="1">
      <c r="M661" s="119"/>
      <c r="N661" s="119"/>
      <c r="O661" s="119"/>
      <c r="P661" s="119"/>
      <c r="Q661" s="119"/>
    </row>
    <row r="662" spans="13:17" ht="20.100000000000001" customHeight="1">
      <c r="M662" s="119"/>
      <c r="N662" s="119"/>
      <c r="O662" s="119"/>
      <c r="P662" s="119"/>
      <c r="Q662" s="119"/>
    </row>
    <row r="663" spans="13:17" ht="20.100000000000001" customHeight="1">
      <c r="M663" s="119"/>
      <c r="N663" s="119"/>
      <c r="O663" s="119"/>
      <c r="P663" s="119"/>
      <c r="Q663" s="119"/>
    </row>
    <row r="664" spans="13:17" ht="20.100000000000001" customHeight="1">
      <c r="M664" s="119"/>
      <c r="N664" s="119"/>
      <c r="O664" s="119"/>
      <c r="P664" s="119"/>
      <c r="Q664" s="119"/>
    </row>
    <row r="665" spans="13:17" ht="20.100000000000001" customHeight="1">
      <c r="M665" s="119"/>
      <c r="N665" s="119"/>
      <c r="O665" s="119"/>
      <c r="P665" s="119"/>
      <c r="Q665" s="119"/>
    </row>
    <row r="666" spans="13:17" ht="20.100000000000001" customHeight="1">
      <c r="M666" s="119"/>
      <c r="N666" s="119"/>
      <c r="O666" s="119"/>
      <c r="P666" s="119"/>
      <c r="Q666" s="119"/>
    </row>
    <row r="667" spans="13:17" ht="20.100000000000001" customHeight="1">
      <c r="M667" s="119"/>
      <c r="N667" s="119"/>
      <c r="O667" s="119"/>
      <c r="P667" s="119"/>
      <c r="Q667" s="119"/>
    </row>
    <row r="668" spans="13:17" ht="20.100000000000001" customHeight="1">
      <c r="M668" s="119"/>
      <c r="N668" s="119"/>
      <c r="O668" s="119"/>
      <c r="P668" s="119"/>
      <c r="Q668" s="119"/>
    </row>
    <row r="669" spans="13:17" ht="20.100000000000001" customHeight="1">
      <c r="M669" s="119"/>
      <c r="N669" s="119"/>
      <c r="O669" s="119"/>
      <c r="P669" s="119"/>
      <c r="Q669" s="119"/>
    </row>
    <row r="670" spans="13:17" ht="20.100000000000001" customHeight="1">
      <c r="M670" s="119"/>
      <c r="N670" s="119"/>
      <c r="O670" s="119"/>
      <c r="P670" s="119"/>
      <c r="Q670" s="119"/>
    </row>
    <row r="671" spans="13:17" ht="20.100000000000001" customHeight="1">
      <c r="M671" s="119"/>
      <c r="N671" s="119"/>
      <c r="O671" s="119"/>
      <c r="P671" s="119"/>
      <c r="Q671" s="119"/>
    </row>
    <row r="672" spans="13:17" ht="20.100000000000001" customHeight="1">
      <c r="M672" s="119"/>
      <c r="N672" s="119"/>
      <c r="O672" s="119"/>
      <c r="P672" s="119"/>
      <c r="Q672" s="119"/>
    </row>
    <row r="673" spans="13:17" ht="20.100000000000001" customHeight="1">
      <c r="M673" s="119"/>
      <c r="N673" s="119"/>
      <c r="O673" s="119"/>
      <c r="P673" s="119"/>
      <c r="Q673" s="119"/>
    </row>
    <row r="674" spans="13:17" ht="20.100000000000001" customHeight="1">
      <c r="M674" s="119"/>
      <c r="N674" s="119"/>
      <c r="O674" s="119"/>
      <c r="P674" s="119"/>
      <c r="Q674" s="119"/>
    </row>
    <row r="675" spans="13:17" ht="20.100000000000001" customHeight="1">
      <c r="M675" s="119"/>
      <c r="N675" s="119"/>
      <c r="O675" s="119"/>
      <c r="P675" s="119"/>
      <c r="Q675" s="119"/>
    </row>
    <row r="676" spans="13:17" ht="20.100000000000001" customHeight="1">
      <c r="M676" s="119"/>
      <c r="N676" s="119"/>
      <c r="O676" s="119"/>
      <c r="P676" s="119"/>
      <c r="Q676" s="119"/>
    </row>
    <row r="677" spans="13:17" ht="20.100000000000001" customHeight="1">
      <c r="M677" s="119"/>
      <c r="N677" s="119"/>
      <c r="O677" s="119"/>
      <c r="P677" s="119"/>
      <c r="Q677" s="119"/>
    </row>
    <row r="678" spans="13:17" ht="20.100000000000001" customHeight="1">
      <c r="M678" s="119"/>
      <c r="N678" s="119"/>
      <c r="O678" s="119"/>
      <c r="P678" s="119"/>
      <c r="Q678" s="119"/>
    </row>
    <row r="679" spans="13:17" ht="20.100000000000001" customHeight="1">
      <c r="M679" s="119"/>
      <c r="N679" s="119"/>
      <c r="O679" s="119"/>
      <c r="P679" s="119"/>
      <c r="Q679" s="119"/>
    </row>
    <row r="680" spans="13:17" ht="20.100000000000001" customHeight="1">
      <c r="M680" s="119"/>
      <c r="N680" s="119"/>
      <c r="O680" s="119"/>
      <c r="P680" s="119"/>
      <c r="Q680" s="119"/>
    </row>
    <row r="681" spans="13:17" ht="20.100000000000001" customHeight="1">
      <c r="M681" s="119"/>
      <c r="N681" s="119"/>
      <c r="O681" s="119"/>
      <c r="P681" s="119"/>
      <c r="Q681" s="119"/>
    </row>
    <row r="682" spans="13:17" ht="20.100000000000001" customHeight="1">
      <c r="M682" s="119"/>
      <c r="N682" s="119"/>
      <c r="O682" s="119"/>
      <c r="P682" s="119"/>
      <c r="Q682" s="119"/>
    </row>
    <row r="683" spans="13:17" ht="20.100000000000001" customHeight="1">
      <c r="M683" s="119"/>
      <c r="N683" s="119"/>
      <c r="O683" s="119"/>
      <c r="P683" s="119"/>
      <c r="Q683" s="119"/>
    </row>
    <row r="684" spans="13:17" ht="20.100000000000001" customHeight="1">
      <c r="M684" s="119"/>
      <c r="N684" s="119"/>
      <c r="O684" s="119"/>
      <c r="P684" s="119"/>
      <c r="Q684" s="119"/>
    </row>
    <row r="685" spans="13:17" ht="20.100000000000001" customHeight="1">
      <c r="M685" s="119"/>
      <c r="N685" s="119"/>
      <c r="O685" s="119"/>
      <c r="P685" s="119"/>
      <c r="Q685" s="119"/>
    </row>
    <row r="686" spans="13:17" ht="20.100000000000001" customHeight="1">
      <c r="M686" s="119"/>
      <c r="N686" s="119"/>
      <c r="O686" s="119"/>
      <c r="P686" s="119"/>
      <c r="Q686" s="119"/>
    </row>
    <row r="687" spans="13:17" ht="20.100000000000001" customHeight="1">
      <c r="M687" s="119"/>
      <c r="N687" s="119"/>
      <c r="O687" s="119"/>
      <c r="P687" s="119"/>
      <c r="Q687" s="119"/>
    </row>
    <row r="688" spans="13:17" ht="20.100000000000001" customHeight="1">
      <c r="M688" s="119"/>
      <c r="N688" s="119"/>
      <c r="O688" s="119"/>
      <c r="P688" s="119"/>
      <c r="Q688" s="119"/>
    </row>
    <row r="689" spans="13:17" ht="20.100000000000001" customHeight="1">
      <c r="M689" s="119"/>
      <c r="N689" s="119"/>
      <c r="O689" s="119"/>
      <c r="P689" s="119"/>
      <c r="Q689" s="119"/>
    </row>
    <row r="690" spans="13:17" ht="20.100000000000001" customHeight="1">
      <c r="M690" s="119"/>
      <c r="N690" s="119"/>
      <c r="O690" s="119"/>
      <c r="P690" s="119"/>
      <c r="Q690" s="119"/>
    </row>
    <row r="691" spans="13:17" ht="20.100000000000001" customHeight="1">
      <c r="M691" s="119"/>
      <c r="N691" s="119"/>
      <c r="O691" s="119"/>
      <c r="P691" s="119"/>
      <c r="Q691" s="119"/>
    </row>
    <row r="692" spans="13:17" ht="20.100000000000001" customHeight="1">
      <c r="M692" s="119"/>
      <c r="N692" s="119"/>
      <c r="O692" s="119"/>
      <c r="P692" s="119"/>
      <c r="Q692" s="119"/>
    </row>
    <row r="693" spans="13:17" ht="20.100000000000001" customHeight="1">
      <c r="M693" s="119"/>
      <c r="N693" s="119"/>
      <c r="O693" s="119"/>
      <c r="P693" s="119"/>
      <c r="Q693" s="119"/>
    </row>
    <row r="694" spans="13:17" ht="20.100000000000001" customHeight="1">
      <c r="M694" s="119"/>
      <c r="N694" s="119"/>
      <c r="O694" s="119"/>
      <c r="P694" s="119"/>
      <c r="Q694" s="119"/>
    </row>
    <row r="695" spans="13:17" ht="20.100000000000001" customHeight="1">
      <c r="M695" s="119"/>
      <c r="N695" s="119"/>
      <c r="O695" s="119"/>
      <c r="P695" s="119"/>
      <c r="Q695" s="119"/>
    </row>
    <row r="696" spans="13:17" ht="20.100000000000001" customHeight="1">
      <c r="M696" s="119"/>
      <c r="N696" s="119"/>
      <c r="O696" s="119"/>
      <c r="P696" s="119"/>
      <c r="Q696" s="119"/>
    </row>
    <row r="697" spans="13:17" ht="20.100000000000001" customHeight="1">
      <c r="M697" s="119"/>
      <c r="N697" s="119"/>
      <c r="O697" s="119"/>
      <c r="P697" s="119"/>
      <c r="Q697" s="119"/>
    </row>
    <row r="698" spans="13:17" ht="20.100000000000001" customHeight="1">
      <c r="M698" s="119"/>
      <c r="N698" s="119"/>
      <c r="O698" s="119"/>
      <c r="P698" s="119"/>
      <c r="Q698" s="119"/>
    </row>
    <row r="699" spans="13:17" ht="20.100000000000001" customHeight="1">
      <c r="M699" s="119"/>
      <c r="N699" s="119"/>
      <c r="O699" s="119"/>
      <c r="P699" s="119"/>
      <c r="Q699" s="119"/>
    </row>
    <row r="700" spans="13:17" ht="20.100000000000001" customHeight="1">
      <c r="M700" s="119"/>
      <c r="N700" s="119"/>
      <c r="O700" s="119"/>
      <c r="P700" s="119"/>
      <c r="Q700" s="119"/>
    </row>
    <row r="701" spans="13:17" ht="20.100000000000001" customHeight="1">
      <c r="M701" s="119"/>
      <c r="N701" s="119"/>
      <c r="O701" s="119"/>
      <c r="P701" s="119"/>
      <c r="Q701" s="119"/>
    </row>
    <row r="702" spans="13:17" ht="20.100000000000001" customHeight="1">
      <c r="M702" s="119"/>
      <c r="N702" s="119"/>
      <c r="O702" s="119"/>
      <c r="P702" s="119"/>
      <c r="Q702" s="119"/>
    </row>
    <row r="703" spans="13:17" ht="20.100000000000001" customHeight="1">
      <c r="M703" s="119"/>
      <c r="N703" s="119"/>
      <c r="O703" s="119"/>
      <c r="P703" s="119"/>
      <c r="Q703" s="119"/>
    </row>
    <row r="704" spans="13:17" ht="20.100000000000001" customHeight="1">
      <c r="M704" s="119"/>
      <c r="N704" s="119"/>
      <c r="O704" s="119"/>
      <c r="P704" s="119"/>
      <c r="Q704" s="119"/>
    </row>
    <row r="705" spans="13:17" ht="20.100000000000001" customHeight="1">
      <c r="M705" s="119"/>
      <c r="N705" s="119"/>
      <c r="O705" s="119"/>
      <c r="P705" s="119"/>
      <c r="Q705" s="119"/>
    </row>
    <row r="706" spans="13:17" ht="20.100000000000001" customHeight="1">
      <c r="M706" s="119"/>
      <c r="N706" s="119"/>
      <c r="O706" s="119"/>
      <c r="P706" s="119"/>
      <c r="Q706" s="119"/>
    </row>
    <row r="707" spans="13:17" ht="20.100000000000001" customHeight="1">
      <c r="M707" s="119"/>
      <c r="N707" s="119"/>
      <c r="O707" s="119"/>
      <c r="P707" s="119"/>
      <c r="Q707" s="119"/>
    </row>
    <row r="708" spans="13:17" ht="20.100000000000001" customHeight="1">
      <c r="M708" s="119"/>
      <c r="N708" s="119"/>
      <c r="O708" s="119"/>
      <c r="P708" s="119"/>
      <c r="Q708" s="119"/>
    </row>
    <row r="709" spans="13:17" ht="20.100000000000001" customHeight="1">
      <c r="M709" s="119"/>
      <c r="N709" s="119"/>
      <c r="O709" s="119"/>
      <c r="P709" s="119"/>
      <c r="Q709" s="119"/>
    </row>
    <row r="710" spans="13:17" ht="20.100000000000001" customHeight="1">
      <c r="M710" s="119"/>
      <c r="N710" s="119"/>
      <c r="O710" s="119"/>
      <c r="P710" s="119"/>
      <c r="Q710" s="119"/>
    </row>
    <row r="711" spans="13:17" ht="20.100000000000001" customHeight="1">
      <c r="M711" s="119"/>
      <c r="N711" s="119"/>
      <c r="O711" s="119"/>
      <c r="P711" s="119"/>
      <c r="Q711" s="119"/>
    </row>
    <row r="712" spans="13:17" ht="20.100000000000001" customHeight="1">
      <c r="M712" s="119"/>
      <c r="N712" s="119"/>
      <c r="O712" s="119"/>
      <c r="P712" s="119"/>
      <c r="Q712" s="119"/>
    </row>
    <row r="713" spans="13:17" ht="20.100000000000001" customHeight="1">
      <c r="M713" s="119"/>
      <c r="N713" s="119"/>
      <c r="O713" s="119"/>
      <c r="P713" s="119"/>
      <c r="Q713" s="119"/>
    </row>
    <row r="714" spans="13:17" ht="20.100000000000001" customHeight="1">
      <c r="M714" s="119"/>
      <c r="N714" s="119"/>
      <c r="O714" s="119"/>
      <c r="P714" s="119"/>
      <c r="Q714" s="119"/>
    </row>
    <row r="715" spans="13:17" ht="20.100000000000001" customHeight="1">
      <c r="M715" s="119"/>
      <c r="N715" s="119"/>
      <c r="O715" s="119"/>
      <c r="P715" s="119"/>
      <c r="Q715" s="119"/>
    </row>
    <row r="716" spans="13:17" ht="20.100000000000001" customHeight="1">
      <c r="M716" s="119"/>
      <c r="N716" s="119"/>
      <c r="O716" s="119"/>
      <c r="P716" s="119"/>
      <c r="Q716" s="119"/>
    </row>
    <row r="717" spans="13:17" ht="20.100000000000001" customHeight="1">
      <c r="M717" s="119"/>
      <c r="N717" s="119"/>
      <c r="O717" s="119"/>
      <c r="P717" s="119"/>
      <c r="Q717" s="119"/>
    </row>
    <row r="718" spans="13:17" ht="20.100000000000001" customHeight="1">
      <c r="M718" s="119"/>
      <c r="N718" s="119"/>
      <c r="O718" s="119"/>
      <c r="P718" s="119"/>
      <c r="Q718" s="119"/>
    </row>
    <row r="719" spans="13:17" ht="20.100000000000001" customHeight="1">
      <c r="M719" s="119"/>
      <c r="N719" s="119"/>
      <c r="O719" s="119"/>
      <c r="P719" s="119"/>
      <c r="Q719" s="119"/>
    </row>
    <row r="720" spans="13:17" ht="20.100000000000001" customHeight="1">
      <c r="M720" s="119"/>
      <c r="N720" s="119"/>
      <c r="O720" s="119"/>
      <c r="P720" s="119"/>
      <c r="Q720" s="119"/>
    </row>
    <row r="721" spans="13:17" ht="20.100000000000001" customHeight="1">
      <c r="M721" s="119"/>
      <c r="N721" s="119"/>
      <c r="O721" s="119"/>
      <c r="P721" s="119"/>
      <c r="Q721" s="119"/>
    </row>
    <row r="722" spans="13:17" ht="20.100000000000001" customHeight="1">
      <c r="M722" s="119"/>
      <c r="N722" s="119"/>
      <c r="O722" s="119"/>
      <c r="P722" s="119"/>
      <c r="Q722" s="119"/>
    </row>
    <row r="723" spans="13:17" ht="20.100000000000001" customHeight="1">
      <c r="M723" s="119"/>
      <c r="N723" s="119"/>
      <c r="O723" s="119"/>
      <c r="P723" s="119"/>
      <c r="Q723" s="119"/>
    </row>
    <row r="724" spans="13:17" ht="20.100000000000001" customHeight="1">
      <c r="M724" s="119"/>
      <c r="N724" s="119"/>
      <c r="O724" s="119"/>
      <c r="P724" s="119"/>
      <c r="Q724" s="119"/>
    </row>
  </sheetData>
  <mergeCells count="381">
    <mergeCell ref="Q4:Q5"/>
    <mergeCell ref="A5:L5"/>
    <mergeCell ref="A6:L6"/>
    <mergeCell ref="A7:D7"/>
    <mergeCell ref="E7:L7"/>
    <mergeCell ref="B8:E8"/>
    <mergeCell ref="F8:L8"/>
    <mergeCell ref="A1:O1"/>
    <mergeCell ref="A3:M3"/>
    <mergeCell ref="N3:O3"/>
    <mergeCell ref="A4:L4"/>
    <mergeCell ref="M4:M5"/>
    <mergeCell ref="N4:N5"/>
    <mergeCell ref="O4:O5"/>
    <mergeCell ref="E13:I13"/>
    <mergeCell ref="J13:K13"/>
    <mergeCell ref="C15:F15"/>
    <mergeCell ref="G15:L15"/>
    <mergeCell ref="E16:H16"/>
    <mergeCell ref="I16:L16"/>
    <mergeCell ref="C9:F9"/>
    <mergeCell ref="G9:L9"/>
    <mergeCell ref="E10:H10"/>
    <mergeCell ref="I10:L10"/>
    <mergeCell ref="E11:J11"/>
    <mergeCell ref="E12:I12"/>
    <mergeCell ref="J12:K12"/>
    <mergeCell ref="E22:K22"/>
    <mergeCell ref="H23:I23"/>
    <mergeCell ref="E24:K24"/>
    <mergeCell ref="H25:I25"/>
    <mergeCell ref="E26:K26"/>
    <mergeCell ref="H27:I27"/>
    <mergeCell ref="E17:J17"/>
    <mergeCell ref="E18:I18"/>
    <mergeCell ref="J18:K18"/>
    <mergeCell ref="H19:I19"/>
    <mergeCell ref="E20:K20"/>
    <mergeCell ref="H21:I21"/>
    <mergeCell ref="E36:K36"/>
    <mergeCell ref="H37:I37"/>
    <mergeCell ref="E38:K38"/>
    <mergeCell ref="E39:I39"/>
    <mergeCell ref="J39:K39"/>
    <mergeCell ref="H40:I40"/>
    <mergeCell ref="E28:K28"/>
    <mergeCell ref="E30:K30"/>
    <mergeCell ref="H31:I31"/>
    <mergeCell ref="E32:K32"/>
    <mergeCell ref="E34:K34"/>
    <mergeCell ref="H35:I35"/>
    <mergeCell ref="E46:K46"/>
    <mergeCell ref="H47:I47"/>
    <mergeCell ref="E48:K48"/>
    <mergeCell ref="H49:I49"/>
    <mergeCell ref="E50:K50"/>
    <mergeCell ref="H51:I51"/>
    <mergeCell ref="E41:K41"/>
    <mergeCell ref="H42:I42"/>
    <mergeCell ref="E43:K43"/>
    <mergeCell ref="E44:I44"/>
    <mergeCell ref="J44:K44"/>
    <mergeCell ref="H45:I45"/>
    <mergeCell ref="E58:K58"/>
    <mergeCell ref="H59:I59"/>
    <mergeCell ref="E60:K60"/>
    <mergeCell ref="H61:I61"/>
    <mergeCell ref="E62:K62"/>
    <mergeCell ref="E63:I63"/>
    <mergeCell ref="J63:K63"/>
    <mergeCell ref="E52:K52"/>
    <mergeCell ref="H53:I53"/>
    <mergeCell ref="E54:K54"/>
    <mergeCell ref="H55:I55"/>
    <mergeCell ref="E56:K56"/>
    <mergeCell ref="H57:I57"/>
    <mergeCell ref="E68:K68"/>
    <mergeCell ref="E69:I69"/>
    <mergeCell ref="J69:K69"/>
    <mergeCell ref="E70:K70"/>
    <mergeCell ref="H71:I71"/>
    <mergeCell ref="E72:I72"/>
    <mergeCell ref="J72:K72"/>
    <mergeCell ref="H64:I64"/>
    <mergeCell ref="E65:I65"/>
    <mergeCell ref="J65:K65"/>
    <mergeCell ref="E66:K66"/>
    <mergeCell ref="E67:I67"/>
    <mergeCell ref="J67:K67"/>
    <mergeCell ref="E77:K77"/>
    <mergeCell ref="E78:I78"/>
    <mergeCell ref="J78:K78"/>
    <mergeCell ref="H79:I79"/>
    <mergeCell ref="E80:K80"/>
    <mergeCell ref="H81:I81"/>
    <mergeCell ref="E73:K73"/>
    <mergeCell ref="E74:I74"/>
    <mergeCell ref="J74:K74"/>
    <mergeCell ref="E75:K75"/>
    <mergeCell ref="E76:I76"/>
    <mergeCell ref="J76:K76"/>
    <mergeCell ref="E88:K88"/>
    <mergeCell ref="H89:I89"/>
    <mergeCell ref="E90:K90"/>
    <mergeCell ref="E91:I91"/>
    <mergeCell ref="J91:K91"/>
    <mergeCell ref="H92:I92"/>
    <mergeCell ref="E82:K82"/>
    <mergeCell ref="H83:I83"/>
    <mergeCell ref="E84:K84"/>
    <mergeCell ref="H85:I85"/>
    <mergeCell ref="E86:K86"/>
    <mergeCell ref="H87:I87"/>
    <mergeCell ref="E99:K99"/>
    <mergeCell ref="E100:I100"/>
    <mergeCell ref="J100:K100"/>
    <mergeCell ref="H101:I101"/>
    <mergeCell ref="E102:K102"/>
    <mergeCell ref="H103:I103"/>
    <mergeCell ref="E93:K93"/>
    <mergeCell ref="H94:I94"/>
    <mergeCell ref="E95:K95"/>
    <mergeCell ref="H96:I96"/>
    <mergeCell ref="E97:K97"/>
    <mergeCell ref="H98:I98"/>
    <mergeCell ref="E110:K110"/>
    <mergeCell ref="E111:J111"/>
    <mergeCell ref="E112:K112"/>
    <mergeCell ref="E113:I113"/>
    <mergeCell ref="J113:K113"/>
    <mergeCell ref="H114:I114"/>
    <mergeCell ref="E104:K104"/>
    <mergeCell ref="H105:I105"/>
    <mergeCell ref="E106:K106"/>
    <mergeCell ref="H107:I107"/>
    <mergeCell ref="E108:K108"/>
    <mergeCell ref="H109:I109"/>
    <mergeCell ref="E120:K120"/>
    <mergeCell ref="H121:I121"/>
    <mergeCell ref="E122:K122"/>
    <mergeCell ref="H123:I123"/>
    <mergeCell ref="E124:K124"/>
    <mergeCell ref="E125:I125"/>
    <mergeCell ref="J125:K125"/>
    <mergeCell ref="E115:K115"/>
    <mergeCell ref="E116:I116"/>
    <mergeCell ref="J116:K116"/>
    <mergeCell ref="H117:I117"/>
    <mergeCell ref="E118:K118"/>
    <mergeCell ref="H119:I119"/>
    <mergeCell ref="H132:I132"/>
    <mergeCell ref="E133:K133"/>
    <mergeCell ref="H134:I134"/>
    <mergeCell ref="E135:K135"/>
    <mergeCell ref="H136:I136"/>
    <mergeCell ref="E137:K137"/>
    <mergeCell ref="H126:I126"/>
    <mergeCell ref="E127:K127"/>
    <mergeCell ref="H128:I128"/>
    <mergeCell ref="E129:K129"/>
    <mergeCell ref="H130:I130"/>
    <mergeCell ref="E131:K131"/>
    <mergeCell ref="E144:I144"/>
    <mergeCell ref="J144:K144"/>
    <mergeCell ref="H145:I145"/>
    <mergeCell ref="E146:K146"/>
    <mergeCell ref="H147:I147"/>
    <mergeCell ref="E148:K148"/>
    <mergeCell ref="H138:I138"/>
    <mergeCell ref="E139:K139"/>
    <mergeCell ref="H140:I140"/>
    <mergeCell ref="E141:K141"/>
    <mergeCell ref="H142:I142"/>
    <mergeCell ref="E143:K143"/>
    <mergeCell ref="E154:I154"/>
    <mergeCell ref="J154:K154"/>
    <mergeCell ref="E155:K155"/>
    <mergeCell ref="E156:I156"/>
    <mergeCell ref="J156:K156"/>
    <mergeCell ref="E157:K157"/>
    <mergeCell ref="H149:I149"/>
    <mergeCell ref="E150:K150"/>
    <mergeCell ref="E151:I151"/>
    <mergeCell ref="J151:K151"/>
    <mergeCell ref="H152:I152"/>
    <mergeCell ref="E153:K153"/>
    <mergeCell ref="E163:K163"/>
    <mergeCell ref="E164:I164"/>
    <mergeCell ref="J164:K164"/>
    <mergeCell ref="E165:K165"/>
    <mergeCell ref="E166:I166"/>
    <mergeCell ref="J166:K166"/>
    <mergeCell ref="E158:I158"/>
    <mergeCell ref="J158:K158"/>
    <mergeCell ref="E159:K159"/>
    <mergeCell ref="E160:I160"/>
    <mergeCell ref="J160:K160"/>
    <mergeCell ref="E161:K161"/>
    <mergeCell ref="E171:K171"/>
    <mergeCell ref="E172:J172"/>
    <mergeCell ref="E173:J173"/>
    <mergeCell ref="E174:I174"/>
    <mergeCell ref="J174:K174"/>
    <mergeCell ref="H175:I175"/>
    <mergeCell ref="E167:K167"/>
    <mergeCell ref="E168:I168"/>
    <mergeCell ref="J168:K168"/>
    <mergeCell ref="E169:K169"/>
    <mergeCell ref="E170:I170"/>
    <mergeCell ref="J170:K170"/>
    <mergeCell ref="H181:I181"/>
    <mergeCell ref="E182:K182"/>
    <mergeCell ref="E183:I183"/>
    <mergeCell ref="J183:K183"/>
    <mergeCell ref="H184:I184"/>
    <mergeCell ref="E185:K185"/>
    <mergeCell ref="E176:I176"/>
    <mergeCell ref="J176:K176"/>
    <mergeCell ref="H177:I177"/>
    <mergeCell ref="E178:K178"/>
    <mergeCell ref="H179:I179"/>
    <mergeCell ref="E180:I180"/>
    <mergeCell ref="J180:K180"/>
    <mergeCell ref="H192:I192"/>
    <mergeCell ref="E193:K193"/>
    <mergeCell ref="E194:I194"/>
    <mergeCell ref="J194:K194"/>
    <mergeCell ref="H195:I195"/>
    <mergeCell ref="E196:K196"/>
    <mergeCell ref="H186:I186"/>
    <mergeCell ref="E187:K187"/>
    <mergeCell ref="H188:I188"/>
    <mergeCell ref="E189:K189"/>
    <mergeCell ref="H190:I190"/>
    <mergeCell ref="E191:K191"/>
    <mergeCell ref="E202:K202"/>
    <mergeCell ref="E203:I203"/>
    <mergeCell ref="J203:K203"/>
    <mergeCell ref="H204:I204"/>
    <mergeCell ref="E205:K205"/>
    <mergeCell ref="H206:I206"/>
    <mergeCell ref="H197:I197"/>
    <mergeCell ref="E198:K198"/>
    <mergeCell ref="E199:I199"/>
    <mergeCell ref="J199:K199"/>
    <mergeCell ref="E200:K200"/>
    <mergeCell ref="H201:I201"/>
    <mergeCell ref="E212:K212"/>
    <mergeCell ref="H213:I213"/>
    <mergeCell ref="E214:K214"/>
    <mergeCell ref="H215:I215"/>
    <mergeCell ref="E216:K216"/>
    <mergeCell ref="H217:I217"/>
    <mergeCell ref="E207:K207"/>
    <mergeCell ref="E208:I208"/>
    <mergeCell ref="J208:K208"/>
    <mergeCell ref="H209:I209"/>
    <mergeCell ref="E210:K210"/>
    <mergeCell ref="H211:I211"/>
    <mergeCell ref="E224:K224"/>
    <mergeCell ref="E225:J225"/>
    <mergeCell ref="E226:I226"/>
    <mergeCell ref="J226:K226"/>
    <mergeCell ref="H227:I227"/>
    <mergeCell ref="E228:I228"/>
    <mergeCell ref="J228:K228"/>
    <mergeCell ref="E218:K218"/>
    <mergeCell ref="E220:K220"/>
    <mergeCell ref="H221:I221"/>
    <mergeCell ref="E222:K222"/>
    <mergeCell ref="H223:I223"/>
    <mergeCell ref="H219:J219"/>
    <mergeCell ref="H234:I234"/>
    <mergeCell ref="E235:K235"/>
    <mergeCell ref="H236:I236"/>
    <mergeCell ref="E237:I237"/>
    <mergeCell ref="J237:K237"/>
    <mergeCell ref="H238:I238"/>
    <mergeCell ref="H229:I229"/>
    <mergeCell ref="E230:K230"/>
    <mergeCell ref="E231:I231"/>
    <mergeCell ref="J231:K231"/>
    <mergeCell ref="H232:I232"/>
    <mergeCell ref="E233:I233"/>
    <mergeCell ref="J233:K233"/>
    <mergeCell ref="H244:I244"/>
    <mergeCell ref="E245:I245"/>
    <mergeCell ref="J245:K245"/>
    <mergeCell ref="H246:J246"/>
    <mergeCell ref="E247:K247"/>
    <mergeCell ref="H248:I248"/>
    <mergeCell ref="E239:K239"/>
    <mergeCell ref="H240:I240"/>
    <mergeCell ref="E241:I241"/>
    <mergeCell ref="J241:K241"/>
    <mergeCell ref="H242:J242"/>
    <mergeCell ref="E243:K243"/>
    <mergeCell ref="H254:I254"/>
    <mergeCell ref="E255:K255"/>
    <mergeCell ref="H256:I256"/>
    <mergeCell ref="E257:I257"/>
    <mergeCell ref="J257:K257"/>
    <mergeCell ref="H258:I258"/>
    <mergeCell ref="E249:I249"/>
    <mergeCell ref="J249:K249"/>
    <mergeCell ref="H250:J250"/>
    <mergeCell ref="E251:K251"/>
    <mergeCell ref="H252:I252"/>
    <mergeCell ref="E253:I253"/>
    <mergeCell ref="J253:K253"/>
    <mergeCell ref="H264:I264"/>
    <mergeCell ref="E265:K265"/>
    <mergeCell ref="H266:I266"/>
    <mergeCell ref="E267:I267"/>
    <mergeCell ref="J267:K267"/>
    <mergeCell ref="E268:I268"/>
    <mergeCell ref="J268:K268"/>
    <mergeCell ref="E259:I259"/>
    <mergeCell ref="J259:K259"/>
    <mergeCell ref="H260:J260"/>
    <mergeCell ref="E261:K261"/>
    <mergeCell ref="H262:I262"/>
    <mergeCell ref="E263:K263"/>
    <mergeCell ref="E274:I274"/>
    <mergeCell ref="J274:K274"/>
    <mergeCell ref="H275:I275"/>
    <mergeCell ref="E276:K276"/>
    <mergeCell ref="H277:I277"/>
    <mergeCell ref="E278:K278"/>
    <mergeCell ref="H269:I269"/>
    <mergeCell ref="E270:I270"/>
    <mergeCell ref="J270:K270"/>
    <mergeCell ref="H271:I271"/>
    <mergeCell ref="E272:K272"/>
    <mergeCell ref="H273:I273"/>
    <mergeCell ref="H284:I284"/>
    <mergeCell ref="E285:K285"/>
    <mergeCell ref="H286:I286"/>
    <mergeCell ref="E287:K287"/>
    <mergeCell ref="E288:I288"/>
    <mergeCell ref="J288:K288"/>
    <mergeCell ref="H279:I279"/>
    <mergeCell ref="E280:K280"/>
    <mergeCell ref="E281:I281"/>
    <mergeCell ref="J281:K281"/>
    <mergeCell ref="H282:I282"/>
    <mergeCell ref="E283:K283"/>
    <mergeCell ref="E293:I293"/>
    <mergeCell ref="J293:K293"/>
    <mergeCell ref="H294:I294"/>
    <mergeCell ref="E295:I295"/>
    <mergeCell ref="J295:K295"/>
    <mergeCell ref="H296:I296"/>
    <mergeCell ref="H289:I289"/>
    <mergeCell ref="E290:I290"/>
    <mergeCell ref="J290:K290"/>
    <mergeCell ref="H291:I291"/>
    <mergeCell ref="E292:I292"/>
    <mergeCell ref="J292:K292"/>
    <mergeCell ref="E303:J303"/>
    <mergeCell ref="E304:I304"/>
    <mergeCell ref="J304:K304"/>
    <mergeCell ref="E305:I305"/>
    <mergeCell ref="J305:K305"/>
    <mergeCell ref="H306:I306"/>
    <mergeCell ref="E297:K297"/>
    <mergeCell ref="H298:I298"/>
    <mergeCell ref="E299:I299"/>
    <mergeCell ref="J299:K299"/>
    <mergeCell ref="H300:I300"/>
    <mergeCell ref="E301:K301"/>
    <mergeCell ref="E311:K311"/>
    <mergeCell ref="E312:J312"/>
    <mergeCell ref="E313:I313"/>
    <mergeCell ref="J313:K313"/>
    <mergeCell ref="E307:K307"/>
    <mergeCell ref="E308:I308"/>
    <mergeCell ref="J308:K308"/>
    <mergeCell ref="E309:I309"/>
    <mergeCell ref="J309:K309"/>
    <mergeCell ref="H310:I310"/>
  </mergeCells>
  <phoneticPr fontId="2" type="noConversion"/>
  <conditionalFormatting sqref="A1:L218 A220:L1048576 A219:I219 K219:L219">
    <cfRule type="containsText" dxfId="1" priority="2" operator="containsText" text="화, 목">
      <formula>NOT(ISERROR(SEARCH("화, 목",A1)))</formula>
    </cfRule>
  </conditionalFormatting>
  <conditionalFormatting sqref="B1:L218 B220:L1048576 B219:I219 K219:L219">
    <cfRule type="containsText" dxfId="0" priority="1" operator="containsText" text="수, 금">
      <formula>NOT(ISERROR(SEARCH("수, 금",B1)))</formula>
    </cfRule>
  </conditionalFormatting>
  <pageMargins left="0.70866141732283472" right="0.70866141732283472" top="1.1417322834645669" bottom="1.1417322834645669" header="0.31496062992125984" footer="0.31496062992125984"/>
  <pageSetup paperSize="9" scale="64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68"/>
  <sheetViews>
    <sheetView showGridLines="0" topLeftCell="A70" zoomScaleNormal="100" workbookViewId="0">
      <selection activeCell="E33" sqref="E33:I33"/>
    </sheetView>
  </sheetViews>
  <sheetFormatPr defaultRowHeight="20.100000000000001" customHeight="1"/>
  <cols>
    <col min="1" max="8" width="1.625" style="98" customWidth="1"/>
    <col min="9" max="9" width="37.625" style="98" customWidth="1"/>
    <col min="10" max="10" width="23.625" style="98" customWidth="1"/>
    <col min="11" max="11" width="2.625" style="98" customWidth="1"/>
    <col min="12" max="12" width="10.625" style="98" customWidth="1"/>
    <col min="13" max="15" width="12.625" style="98" customWidth="1"/>
    <col min="16" max="16" width="0.875" style="181" hidden="1" customWidth="1"/>
    <col min="17" max="17" width="54.75" style="214" customWidth="1"/>
    <col min="18" max="18" width="2.625" style="98" customWidth="1"/>
    <col min="19" max="243" width="9" style="98"/>
    <col min="244" max="244" width="1.5" style="98" customWidth="1"/>
    <col min="245" max="245" width="0.75" style="98" customWidth="1"/>
    <col min="246" max="251" width="1" style="98" customWidth="1"/>
    <col min="252" max="252" width="0.5" style="98" customWidth="1"/>
    <col min="253" max="253" width="31.25" style="98" customWidth="1"/>
    <col min="254" max="254" width="33.5" style="98" customWidth="1"/>
    <col min="255" max="255" width="2.625" style="98" customWidth="1"/>
    <col min="256" max="256" width="10.375" style="98" customWidth="1"/>
    <col min="257" max="257" width="10.875" style="98" customWidth="1"/>
    <col min="258" max="258" width="14.25" style="98" customWidth="1"/>
    <col min="259" max="259" width="10.875" style="98" customWidth="1"/>
    <col min="260" max="266" width="0" style="98" hidden="1" customWidth="1"/>
    <col min="267" max="267" width="9" style="98"/>
    <col min="268" max="268" width="10.875" style="98" bestFit="1" customWidth="1"/>
    <col min="269" max="499" width="9" style="98"/>
    <col min="500" max="500" width="1.5" style="98" customWidth="1"/>
    <col min="501" max="501" width="0.75" style="98" customWidth="1"/>
    <col min="502" max="507" width="1" style="98" customWidth="1"/>
    <col min="508" max="508" width="0.5" style="98" customWidth="1"/>
    <col min="509" max="509" width="31.25" style="98" customWidth="1"/>
    <col min="510" max="510" width="33.5" style="98" customWidth="1"/>
    <col min="511" max="511" width="2.625" style="98" customWidth="1"/>
    <col min="512" max="512" width="10.375" style="98" customWidth="1"/>
    <col min="513" max="513" width="10.875" style="98" customWidth="1"/>
    <col min="514" max="514" width="14.25" style="98" customWidth="1"/>
    <col min="515" max="515" width="10.875" style="98" customWidth="1"/>
    <col min="516" max="522" width="0" style="98" hidden="1" customWidth="1"/>
    <col min="523" max="523" width="9" style="98"/>
    <col min="524" max="524" width="10.875" style="98" bestFit="1" customWidth="1"/>
    <col min="525" max="755" width="9" style="98"/>
    <col min="756" max="756" width="1.5" style="98" customWidth="1"/>
    <col min="757" max="757" width="0.75" style="98" customWidth="1"/>
    <col min="758" max="763" width="1" style="98" customWidth="1"/>
    <col min="764" max="764" width="0.5" style="98" customWidth="1"/>
    <col min="765" max="765" width="31.25" style="98" customWidth="1"/>
    <col min="766" max="766" width="33.5" style="98" customWidth="1"/>
    <col min="767" max="767" width="2.625" style="98" customWidth="1"/>
    <col min="768" max="768" width="10.375" style="98" customWidth="1"/>
    <col min="769" max="769" width="10.875" style="98" customWidth="1"/>
    <col min="770" max="770" width="14.25" style="98" customWidth="1"/>
    <col min="771" max="771" width="10.875" style="98" customWidth="1"/>
    <col min="772" max="778" width="0" style="98" hidden="1" customWidth="1"/>
    <col min="779" max="779" width="9" style="98"/>
    <col min="780" max="780" width="10.875" style="98" bestFit="1" customWidth="1"/>
    <col min="781" max="1011" width="9" style="98"/>
    <col min="1012" max="1012" width="1.5" style="98" customWidth="1"/>
    <col min="1013" max="1013" width="0.75" style="98" customWidth="1"/>
    <col min="1014" max="1019" width="1" style="98" customWidth="1"/>
    <col min="1020" max="1020" width="0.5" style="98" customWidth="1"/>
    <col min="1021" max="1021" width="31.25" style="98" customWidth="1"/>
    <col min="1022" max="1022" width="33.5" style="98" customWidth="1"/>
    <col min="1023" max="1023" width="2.625" style="98" customWidth="1"/>
    <col min="1024" max="1024" width="10.375" style="98" customWidth="1"/>
    <col min="1025" max="1025" width="10.875" style="98" customWidth="1"/>
    <col min="1026" max="1026" width="14.25" style="98" customWidth="1"/>
    <col min="1027" max="1027" width="10.875" style="98" customWidth="1"/>
    <col min="1028" max="1034" width="0" style="98" hidden="1" customWidth="1"/>
    <col min="1035" max="1035" width="9" style="98"/>
    <col min="1036" max="1036" width="10.875" style="98" bestFit="1" customWidth="1"/>
    <col min="1037" max="1267" width="9" style="98"/>
    <col min="1268" max="1268" width="1.5" style="98" customWidth="1"/>
    <col min="1269" max="1269" width="0.75" style="98" customWidth="1"/>
    <col min="1270" max="1275" width="1" style="98" customWidth="1"/>
    <col min="1276" max="1276" width="0.5" style="98" customWidth="1"/>
    <col min="1277" max="1277" width="31.25" style="98" customWidth="1"/>
    <col min="1278" max="1278" width="33.5" style="98" customWidth="1"/>
    <col min="1279" max="1279" width="2.625" style="98" customWidth="1"/>
    <col min="1280" max="1280" width="10.375" style="98" customWidth="1"/>
    <col min="1281" max="1281" width="10.875" style="98" customWidth="1"/>
    <col min="1282" max="1282" width="14.25" style="98" customWidth="1"/>
    <col min="1283" max="1283" width="10.875" style="98" customWidth="1"/>
    <col min="1284" max="1290" width="0" style="98" hidden="1" customWidth="1"/>
    <col min="1291" max="1291" width="9" style="98"/>
    <col min="1292" max="1292" width="10.875" style="98" bestFit="1" customWidth="1"/>
    <col min="1293" max="1523" width="9" style="98"/>
    <col min="1524" max="1524" width="1.5" style="98" customWidth="1"/>
    <col min="1525" max="1525" width="0.75" style="98" customWidth="1"/>
    <col min="1526" max="1531" width="1" style="98" customWidth="1"/>
    <col min="1532" max="1532" width="0.5" style="98" customWidth="1"/>
    <col min="1533" max="1533" width="31.25" style="98" customWidth="1"/>
    <col min="1534" max="1534" width="33.5" style="98" customWidth="1"/>
    <col min="1535" max="1535" width="2.625" style="98" customWidth="1"/>
    <col min="1536" max="1536" width="10.375" style="98" customWidth="1"/>
    <col min="1537" max="1537" width="10.875" style="98" customWidth="1"/>
    <col min="1538" max="1538" width="14.25" style="98" customWidth="1"/>
    <col min="1539" max="1539" width="10.875" style="98" customWidth="1"/>
    <col min="1540" max="1546" width="0" style="98" hidden="1" customWidth="1"/>
    <col min="1547" max="1547" width="9" style="98"/>
    <col min="1548" max="1548" width="10.875" style="98" bestFit="1" customWidth="1"/>
    <col min="1549" max="1779" width="9" style="98"/>
    <col min="1780" max="1780" width="1.5" style="98" customWidth="1"/>
    <col min="1781" max="1781" width="0.75" style="98" customWidth="1"/>
    <col min="1782" max="1787" width="1" style="98" customWidth="1"/>
    <col min="1788" max="1788" width="0.5" style="98" customWidth="1"/>
    <col min="1789" max="1789" width="31.25" style="98" customWidth="1"/>
    <col min="1790" max="1790" width="33.5" style="98" customWidth="1"/>
    <col min="1791" max="1791" width="2.625" style="98" customWidth="1"/>
    <col min="1792" max="1792" width="10.375" style="98" customWidth="1"/>
    <col min="1793" max="1793" width="10.875" style="98" customWidth="1"/>
    <col min="1794" max="1794" width="14.25" style="98" customWidth="1"/>
    <col min="1795" max="1795" width="10.875" style="98" customWidth="1"/>
    <col min="1796" max="1802" width="0" style="98" hidden="1" customWidth="1"/>
    <col min="1803" max="1803" width="9" style="98"/>
    <col min="1804" max="1804" width="10.875" style="98" bestFit="1" customWidth="1"/>
    <col min="1805" max="2035" width="9" style="98"/>
    <col min="2036" max="2036" width="1.5" style="98" customWidth="1"/>
    <col min="2037" max="2037" width="0.75" style="98" customWidth="1"/>
    <col min="2038" max="2043" width="1" style="98" customWidth="1"/>
    <col min="2044" max="2044" width="0.5" style="98" customWidth="1"/>
    <col min="2045" max="2045" width="31.25" style="98" customWidth="1"/>
    <col min="2046" max="2046" width="33.5" style="98" customWidth="1"/>
    <col min="2047" max="2047" width="2.625" style="98" customWidth="1"/>
    <col min="2048" max="2048" width="10.375" style="98" customWidth="1"/>
    <col min="2049" max="2049" width="10.875" style="98" customWidth="1"/>
    <col min="2050" max="2050" width="14.25" style="98" customWidth="1"/>
    <col min="2051" max="2051" width="10.875" style="98" customWidth="1"/>
    <col min="2052" max="2058" width="0" style="98" hidden="1" customWidth="1"/>
    <col min="2059" max="2059" width="9" style="98"/>
    <col min="2060" max="2060" width="10.875" style="98" bestFit="1" customWidth="1"/>
    <col min="2061" max="2291" width="9" style="98"/>
    <col min="2292" max="2292" width="1.5" style="98" customWidth="1"/>
    <col min="2293" max="2293" width="0.75" style="98" customWidth="1"/>
    <col min="2294" max="2299" width="1" style="98" customWidth="1"/>
    <col min="2300" max="2300" width="0.5" style="98" customWidth="1"/>
    <col min="2301" max="2301" width="31.25" style="98" customWidth="1"/>
    <col min="2302" max="2302" width="33.5" style="98" customWidth="1"/>
    <col min="2303" max="2303" width="2.625" style="98" customWidth="1"/>
    <col min="2304" max="2304" width="10.375" style="98" customWidth="1"/>
    <col min="2305" max="2305" width="10.875" style="98" customWidth="1"/>
    <col min="2306" max="2306" width="14.25" style="98" customWidth="1"/>
    <col min="2307" max="2307" width="10.875" style="98" customWidth="1"/>
    <col min="2308" max="2314" width="0" style="98" hidden="1" customWidth="1"/>
    <col min="2315" max="2315" width="9" style="98"/>
    <col min="2316" max="2316" width="10.875" style="98" bestFit="1" customWidth="1"/>
    <col min="2317" max="2547" width="9" style="98"/>
    <col min="2548" max="2548" width="1.5" style="98" customWidth="1"/>
    <col min="2549" max="2549" width="0.75" style="98" customWidth="1"/>
    <col min="2550" max="2555" width="1" style="98" customWidth="1"/>
    <col min="2556" max="2556" width="0.5" style="98" customWidth="1"/>
    <col min="2557" max="2557" width="31.25" style="98" customWidth="1"/>
    <col min="2558" max="2558" width="33.5" style="98" customWidth="1"/>
    <col min="2559" max="2559" width="2.625" style="98" customWidth="1"/>
    <col min="2560" max="2560" width="10.375" style="98" customWidth="1"/>
    <col min="2561" max="2561" width="10.875" style="98" customWidth="1"/>
    <col min="2562" max="2562" width="14.25" style="98" customWidth="1"/>
    <col min="2563" max="2563" width="10.875" style="98" customWidth="1"/>
    <col min="2564" max="2570" width="0" style="98" hidden="1" customWidth="1"/>
    <col min="2571" max="2571" width="9" style="98"/>
    <col min="2572" max="2572" width="10.875" style="98" bestFit="1" customWidth="1"/>
    <col min="2573" max="2803" width="9" style="98"/>
    <col min="2804" max="2804" width="1.5" style="98" customWidth="1"/>
    <col min="2805" max="2805" width="0.75" style="98" customWidth="1"/>
    <col min="2806" max="2811" width="1" style="98" customWidth="1"/>
    <col min="2812" max="2812" width="0.5" style="98" customWidth="1"/>
    <col min="2813" max="2813" width="31.25" style="98" customWidth="1"/>
    <col min="2814" max="2814" width="33.5" style="98" customWidth="1"/>
    <col min="2815" max="2815" width="2.625" style="98" customWidth="1"/>
    <col min="2816" max="2816" width="10.375" style="98" customWidth="1"/>
    <col min="2817" max="2817" width="10.875" style="98" customWidth="1"/>
    <col min="2818" max="2818" width="14.25" style="98" customWidth="1"/>
    <col min="2819" max="2819" width="10.875" style="98" customWidth="1"/>
    <col min="2820" max="2826" width="0" style="98" hidden="1" customWidth="1"/>
    <col min="2827" max="2827" width="9" style="98"/>
    <col min="2828" max="2828" width="10.875" style="98" bestFit="1" customWidth="1"/>
    <col min="2829" max="3059" width="9" style="98"/>
    <col min="3060" max="3060" width="1.5" style="98" customWidth="1"/>
    <col min="3061" max="3061" width="0.75" style="98" customWidth="1"/>
    <col min="3062" max="3067" width="1" style="98" customWidth="1"/>
    <col min="3068" max="3068" width="0.5" style="98" customWidth="1"/>
    <col min="3069" max="3069" width="31.25" style="98" customWidth="1"/>
    <col min="3070" max="3070" width="33.5" style="98" customWidth="1"/>
    <col min="3071" max="3071" width="2.625" style="98" customWidth="1"/>
    <col min="3072" max="3072" width="10.375" style="98" customWidth="1"/>
    <col min="3073" max="3073" width="10.875" style="98" customWidth="1"/>
    <col min="3074" max="3074" width="14.25" style="98" customWidth="1"/>
    <col min="3075" max="3075" width="10.875" style="98" customWidth="1"/>
    <col min="3076" max="3082" width="0" style="98" hidden="1" customWidth="1"/>
    <col min="3083" max="3083" width="9" style="98"/>
    <col min="3084" max="3084" width="10.875" style="98" bestFit="1" customWidth="1"/>
    <col min="3085" max="3315" width="9" style="98"/>
    <col min="3316" max="3316" width="1.5" style="98" customWidth="1"/>
    <col min="3317" max="3317" width="0.75" style="98" customWidth="1"/>
    <col min="3318" max="3323" width="1" style="98" customWidth="1"/>
    <col min="3324" max="3324" width="0.5" style="98" customWidth="1"/>
    <col min="3325" max="3325" width="31.25" style="98" customWidth="1"/>
    <col min="3326" max="3326" width="33.5" style="98" customWidth="1"/>
    <col min="3327" max="3327" width="2.625" style="98" customWidth="1"/>
    <col min="3328" max="3328" width="10.375" style="98" customWidth="1"/>
    <col min="3329" max="3329" width="10.875" style="98" customWidth="1"/>
    <col min="3330" max="3330" width="14.25" style="98" customWidth="1"/>
    <col min="3331" max="3331" width="10.875" style="98" customWidth="1"/>
    <col min="3332" max="3338" width="0" style="98" hidden="1" customWidth="1"/>
    <col min="3339" max="3339" width="9" style="98"/>
    <col min="3340" max="3340" width="10.875" style="98" bestFit="1" customWidth="1"/>
    <col min="3341" max="3571" width="9" style="98"/>
    <col min="3572" max="3572" width="1.5" style="98" customWidth="1"/>
    <col min="3573" max="3573" width="0.75" style="98" customWidth="1"/>
    <col min="3574" max="3579" width="1" style="98" customWidth="1"/>
    <col min="3580" max="3580" width="0.5" style="98" customWidth="1"/>
    <col min="3581" max="3581" width="31.25" style="98" customWidth="1"/>
    <col min="3582" max="3582" width="33.5" style="98" customWidth="1"/>
    <col min="3583" max="3583" width="2.625" style="98" customWidth="1"/>
    <col min="3584" max="3584" width="10.375" style="98" customWidth="1"/>
    <col min="3585" max="3585" width="10.875" style="98" customWidth="1"/>
    <col min="3586" max="3586" width="14.25" style="98" customWidth="1"/>
    <col min="3587" max="3587" width="10.875" style="98" customWidth="1"/>
    <col min="3588" max="3594" width="0" style="98" hidden="1" customWidth="1"/>
    <col min="3595" max="3595" width="9" style="98"/>
    <col min="3596" max="3596" width="10.875" style="98" bestFit="1" customWidth="1"/>
    <col min="3597" max="3827" width="9" style="98"/>
    <col min="3828" max="3828" width="1.5" style="98" customWidth="1"/>
    <col min="3829" max="3829" width="0.75" style="98" customWidth="1"/>
    <col min="3830" max="3835" width="1" style="98" customWidth="1"/>
    <col min="3836" max="3836" width="0.5" style="98" customWidth="1"/>
    <col min="3837" max="3837" width="31.25" style="98" customWidth="1"/>
    <col min="3838" max="3838" width="33.5" style="98" customWidth="1"/>
    <col min="3839" max="3839" width="2.625" style="98" customWidth="1"/>
    <col min="3840" max="3840" width="10.375" style="98" customWidth="1"/>
    <col min="3841" max="3841" width="10.875" style="98" customWidth="1"/>
    <col min="3842" max="3842" width="14.25" style="98" customWidth="1"/>
    <col min="3843" max="3843" width="10.875" style="98" customWidth="1"/>
    <col min="3844" max="3850" width="0" style="98" hidden="1" customWidth="1"/>
    <col min="3851" max="3851" width="9" style="98"/>
    <col min="3852" max="3852" width="10.875" style="98" bestFit="1" customWidth="1"/>
    <col min="3853" max="4083" width="9" style="98"/>
    <col min="4084" max="4084" width="1.5" style="98" customWidth="1"/>
    <col min="4085" max="4085" width="0.75" style="98" customWidth="1"/>
    <col min="4086" max="4091" width="1" style="98" customWidth="1"/>
    <col min="4092" max="4092" width="0.5" style="98" customWidth="1"/>
    <col min="4093" max="4093" width="31.25" style="98" customWidth="1"/>
    <col min="4094" max="4094" width="33.5" style="98" customWidth="1"/>
    <col min="4095" max="4095" width="2.625" style="98" customWidth="1"/>
    <col min="4096" max="4096" width="10.375" style="98" customWidth="1"/>
    <col min="4097" max="4097" width="10.875" style="98" customWidth="1"/>
    <col min="4098" max="4098" width="14.25" style="98" customWidth="1"/>
    <col min="4099" max="4099" width="10.875" style="98" customWidth="1"/>
    <col min="4100" max="4106" width="0" style="98" hidden="1" customWidth="1"/>
    <col min="4107" max="4107" width="9" style="98"/>
    <col min="4108" max="4108" width="10.875" style="98" bestFit="1" customWidth="1"/>
    <col min="4109" max="4339" width="9" style="98"/>
    <col min="4340" max="4340" width="1.5" style="98" customWidth="1"/>
    <col min="4341" max="4341" width="0.75" style="98" customWidth="1"/>
    <col min="4342" max="4347" width="1" style="98" customWidth="1"/>
    <col min="4348" max="4348" width="0.5" style="98" customWidth="1"/>
    <col min="4349" max="4349" width="31.25" style="98" customWidth="1"/>
    <col min="4350" max="4350" width="33.5" style="98" customWidth="1"/>
    <col min="4351" max="4351" width="2.625" style="98" customWidth="1"/>
    <col min="4352" max="4352" width="10.375" style="98" customWidth="1"/>
    <col min="4353" max="4353" width="10.875" style="98" customWidth="1"/>
    <col min="4354" max="4354" width="14.25" style="98" customWidth="1"/>
    <col min="4355" max="4355" width="10.875" style="98" customWidth="1"/>
    <col min="4356" max="4362" width="0" style="98" hidden="1" customWidth="1"/>
    <col min="4363" max="4363" width="9" style="98"/>
    <col min="4364" max="4364" width="10.875" style="98" bestFit="1" customWidth="1"/>
    <col min="4365" max="4595" width="9" style="98"/>
    <col min="4596" max="4596" width="1.5" style="98" customWidth="1"/>
    <col min="4597" max="4597" width="0.75" style="98" customWidth="1"/>
    <col min="4598" max="4603" width="1" style="98" customWidth="1"/>
    <col min="4604" max="4604" width="0.5" style="98" customWidth="1"/>
    <col min="4605" max="4605" width="31.25" style="98" customWidth="1"/>
    <col min="4606" max="4606" width="33.5" style="98" customWidth="1"/>
    <col min="4607" max="4607" width="2.625" style="98" customWidth="1"/>
    <col min="4608" max="4608" width="10.375" style="98" customWidth="1"/>
    <col min="4609" max="4609" width="10.875" style="98" customWidth="1"/>
    <col min="4610" max="4610" width="14.25" style="98" customWidth="1"/>
    <col min="4611" max="4611" width="10.875" style="98" customWidth="1"/>
    <col min="4612" max="4618" width="0" style="98" hidden="1" customWidth="1"/>
    <col min="4619" max="4619" width="9" style="98"/>
    <col min="4620" max="4620" width="10.875" style="98" bestFit="1" customWidth="1"/>
    <col min="4621" max="4851" width="9" style="98"/>
    <col min="4852" max="4852" width="1.5" style="98" customWidth="1"/>
    <col min="4853" max="4853" width="0.75" style="98" customWidth="1"/>
    <col min="4854" max="4859" width="1" style="98" customWidth="1"/>
    <col min="4860" max="4860" width="0.5" style="98" customWidth="1"/>
    <col min="4861" max="4861" width="31.25" style="98" customWidth="1"/>
    <col min="4862" max="4862" width="33.5" style="98" customWidth="1"/>
    <col min="4863" max="4863" width="2.625" style="98" customWidth="1"/>
    <col min="4864" max="4864" width="10.375" style="98" customWidth="1"/>
    <col min="4865" max="4865" width="10.875" style="98" customWidth="1"/>
    <col min="4866" max="4866" width="14.25" style="98" customWidth="1"/>
    <col min="4867" max="4867" width="10.875" style="98" customWidth="1"/>
    <col min="4868" max="4874" width="0" style="98" hidden="1" customWidth="1"/>
    <col min="4875" max="4875" width="9" style="98"/>
    <col min="4876" max="4876" width="10.875" style="98" bestFit="1" customWidth="1"/>
    <col min="4877" max="5107" width="9" style="98"/>
    <col min="5108" max="5108" width="1.5" style="98" customWidth="1"/>
    <col min="5109" max="5109" width="0.75" style="98" customWidth="1"/>
    <col min="5110" max="5115" width="1" style="98" customWidth="1"/>
    <col min="5116" max="5116" width="0.5" style="98" customWidth="1"/>
    <col min="5117" max="5117" width="31.25" style="98" customWidth="1"/>
    <col min="5118" max="5118" width="33.5" style="98" customWidth="1"/>
    <col min="5119" max="5119" width="2.625" style="98" customWidth="1"/>
    <col min="5120" max="5120" width="10.375" style="98" customWidth="1"/>
    <col min="5121" max="5121" width="10.875" style="98" customWidth="1"/>
    <col min="5122" max="5122" width="14.25" style="98" customWidth="1"/>
    <col min="5123" max="5123" width="10.875" style="98" customWidth="1"/>
    <col min="5124" max="5130" width="0" style="98" hidden="1" customWidth="1"/>
    <col min="5131" max="5131" width="9" style="98"/>
    <col min="5132" max="5132" width="10.875" style="98" bestFit="1" customWidth="1"/>
    <col min="5133" max="5363" width="9" style="98"/>
    <col min="5364" max="5364" width="1.5" style="98" customWidth="1"/>
    <col min="5365" max="5365" width="0.75" style="98" customWidth="1"/>
    <col min="5366" max="5371" width="1" style="98" customWidth="1"/>
    <col min="5372" max="5372" width="0.5" style="98" customWidth="1"/>
    <col min="5373" max="5373" width="31.25" style="98" customWidth="1"/>
    <col min="5374" max="5374" width="33.5" style="98" customWidth="1"/>
    <col min="5375" max="5375" width="2.625" style="98" customWidth="1"/>
    <col min="5376" max="5376" width="10.375" style="98" customWidth="1"/>
    <col min="5377" max="5377" width="10.875" style="98" customWidth="1"/>
    <col min="5378" max="5378" width="14.25" style="98" customWidth="1"/>
    <col min="5379" max="5379" width="10.875" style="98" customWidth="1"/>
    <col min="5380" max="5386" width="0" style="98" hidden="1" customWidth="1"/>
    <col min="5387" max="5387" width="9" style="98"/>
    <col min="5388" max="5388" width="10.875" style="98" bestFit="1" customWidth="1"/>
    <col min="5389" max="5619" width="9" style="98"/>
    <col min="5620" max="5620" width="1.5" style="98" customWidth="1"/>
    <col min="5621" max="5621" width="0.75" style="98" customWidth="1"/>
    <col min="5622" max="5627" width="1" style="98" customWidth="1"/>
    <col min="5628" max="5628" width="0.5" style="98" customWidth="1"/>
    <col min="5629" max="5629" width="31.25" style="98" customWidth="1"/>
    <col min="5630" max="5630" width="33.5" style="98" customWidth="1"/>
    <col min="5631" max="5631" width="2.625" style="98" customWidth="1"/>
    <col min="5632" max="5632" width="10.375" style="98" customWidth="1"/>
    <col min="5633" max="5633" width="10.875" style="98" customWidth="1"/>
    <col min="5634" max="5634" width="14.25" style="98" customWidth="1"/>
    <col min="5635" max="5635" width="10.875" style="98" customWidth="1"/>
    <col min="5636" max="5642" width="0" style="98" hidden="1" customWidth="1"/>
    <col min="5643" max="5643" width="9" style="98"/>
    <col min="5644" max="5644" width="10.875" style="98" bestFit="1" customWidth="1"/>
    <col min="5645" max="5875" width="9" style="98"/>
    <col min="5876" max="5876" width="1.5" style="98" customWidth="1"/>
    <col min="5877" max="5877" width="0.75" style="98" customWidth="1"/>
    <col min="5878" max="5883" width="1" style="98" customWidth="1"/>
    <col min="5884" max="5884" width="0.5" style="98" customWidth="1"/>
    <col min="5885" max="5885" width="31.25" style="98" customWidth="1"/>
    <col min="5886" max="5886" width="33.5" style="98" customWidth="1"/>
    <col min="5887" max="5887" width="2.625" style="98" customWidth="1"/>
    <col min="5888" max="5888" width="10.375" style="98" customWidth="1"/>
    <col min="5889" max="5889" width="10.875" style="98" customWidth="1"/>
    <col min="5890" max="5890" width="14.25" style="98" customWidth="1"/>
    <col min="5891" max="5891" width="10.875" style="98" customWidth="1"/>
    <col min="5892" max="5898" width="0" style="98" hidden="1" customWidth="1"/>
    <col min="5899" max="5899" width="9" style="98"/>
    <col min="5900" max="5900" width="10.875" style="98" bestFit="1" customWidth="1"/>
    <col min="5901" max="6131" width="9" style="98"/>
    <col min="6132" max="6132" width="1.5" style="98" customWidth="1"/>
    <col min="6133" max="6133" width="0.75" style="98" customWidth="1"/>
    <col min="6134" max="6139" width="1" style="98" customWidth="1"/>
    <col min="6140" max="6140" width="0.5" style="98" customWidth="1"/>
    <col min="6141" max="6141" width="31.25" style="98" customWidth="1"/>
    <col min="6142" max="6142" width="33.5" style="98" customWidth="1"/>
    <col min="6143" max="6143" width="2.625" style="98" customWidth="1"/>
    <col min="6144" max="6144" width="10.375" style="98" customWidth="1"/>
    <col min="6145" max="6145" width="10.875" style="98" customWidth="1"/>
    <col min="6146" max="6146" width="14.25" style="98" customWidth="1"/>
    <col min="6147" max="6147" width="10.875" style="98" customWidth="1"/>
    <col min="6148" max="6154" width="0" style="98" hidden="1" customWidth="1"/>
    <col min="6155" max="6155" width="9" style="98"/>
    <col min="6156" max="6156" width="10.875" style="98" bestFit="1" customWidth="1"/>
    <col min="6157" max="6387" width="9" style="98"/>
    <col min="6388" max="6388" width="1.5" style="98" customWidth="1"/>
    <col min="6389" max="6389" width="0.75" style="98" customWidth="1"/>
    <col min="6390" max="6395" width="1" style="98" customWidth="1"/>
    <col min="6396" max="6396" width="0.5" style="98" customWidth="1"/>
    <col min="6397" max="6397" width="31.25" style="98" customWidth="1"/>
    <col min="6398" max="6398" width="33.5" style="98" customWidth="1"/>
    <col min="6399" max="6399" width="2.625" style="98" customWidth="1"/>
    <col min="6400" max="6400" width="10.375" style="98" customWidth="1"/>
    <col min="6401" max="6401" width="10.875" style="98" customWidth="1"/>
    <col min="6402" max="6402" width="14.25" style="98" customWidth="1"/>
    <col min="6403" max="6403" width="10.875" style="98" customWidth="1"/>
    <col min="6404" max="6410" width="0" style="98" hidden="1" customWidth="1"/>
    <col min="6411" max="6411" width="9" style="98"/>
    <col min="6412" max="6412" width="10.875" style="98" bestFit="1" customWidth="1"/>
    <col min="6413" max="6643" width="9" style="98"/>
    <col min="6644" max="6644" width="1.5" style="98" customWidth="1"/>
    <col min="6645" max="6645" width="0.75" style="98" customWidth="1"/>
    <col min="6646" max="6651" width="1" style="98" customWidth="1"/>
    <col min="6652" max="6652" width="0.5" style="98" customWidth="1"/>
    <col min="6653" max="6653" width="31.25" style="98" customWidth="1"/>
    <col min="6654" max="6654" width="33.5" style="98" customWidth="1"/>
    <col min="6655" max="6655" width="2.625" style="98" customWidth="1"/>
    <col min="6656" max="6656" width="10.375" style="98" customWidth="1"/>
    <col min="6657" max="6657" width="10.875" style="98" customWidth="1"/>
    <col min="6658" max="6658" width="14.25" style="98" customWidth="1"/>
    <col min="6659" max="6659" width="10.875" style="98" customWidth="1"/>
    <col min="6660" max="6666" width="0" style="98" hidden="1" customWidth="1"/>
    <col min="6667" max="6667" width="9" style="98"/>
    <col min="6668" max="6668" width="10.875" style="98" bestFit="1" customWidth="1"/>
    <col min="6669" max="6899" width="9" style="98"/>
    <col min="6900" max="6900" width="1.5" style="98" customWidth="1"/>
    <col min="6901" max="6901" width="0.75" style="98" customWidth="1"/>
    <col min="6902" max="6907" width="1" style="98" customWidth="1"/>
    <col min="6908" max="6908" width="0.5" style="98" customWidth="1"/>
    <col min="6909" max="6909" width="31.25" style="98" customWidth="1"/>
    <col min="6910" max="6910" width="33.5" style="98" customWidth="1"/>
    <col min="6911" max="6911" width="2.625" style="98" customWidth="1"/>
    <col min="6912" max="6912" width="10.375" style="98" customWidth="1"/>
    <col min="6913" max="6913" width="10.875" style="98" customWidth="1"/>
    <col min="6914" max="6914" width="14.25" style="98" customWidth="1"/>
    <col min="6915" max="6915" width="10.875" style="98" customWidth="1"/>
    <col min="6916" max="6922" width="0" style="98" hidden="1" customWidth="1"/>
    <col min="6923" max="6923" width="9" style="98"/>
    <col min="6924" max="6924" width="10.875" style="98" bestFit="1" customWidth="1"/>
    <col min="6925" max="7155" width="9" style="98"/>
    <col min="7156" max="7156" width="1.5" style="98" customWidth="1"/>
    <col min="7157" max="7157" width="0.75" style="98" customWidth="1"/>
    <col min="7158" max="7163" width="1" style="98" customWidth="1"/>
    <col min="7164" max="7164" width="0.5" style="98" customWidth="1"/>
    <col min="7165" max="7165" width="31.25" style="98" customWidth="1"/>
    <col min="7166" max="7166" width="33.5" style="98" customWidth="1"/>
    <col min="7167" max="7167" width="2.625" style="98" customWidth="1"/>
    <col min="7168" max="7168" width="10.375" style="98" customWidth="1"/>
    <col min="7169" max="7169" width="10.875" style="98" customWidth="1"/>
    <col min="7170" max="7170" width="14.25" style="98" customWidth="1"/>
    <col min="7171" max="7171" width="10.875" style="98" customWidth="1"/>
    <col min="7172" max="7178" width="0" style="98" hidden="1" customWidth="1"/>
    <col min="7179" max="7179" width="9" style="98"/>
    <col min="7180" max="7180" width="10.875" style="98" bestFit="1" customWidth="1"/>
    <col min="7181" max="7411" width="9" style="98"/>
    <col min="7412" max="7412" width="1.5" style="98" customWidth="1"/>
    <col min="7413" max="7413" width="0.75" style="98" customWidth="1"/>
    <col min="7414" max="7419" width="1" style="98" customWidth="1"/>
    <col min="7420" max="7420" width="0.5" style="98" customWidth="1"/>
    <col min="7421" max="7421" width="31.25" style="98" customWidth="1"/>
    <col min="7422" max="7422" width="33.5" style="98" customWidth="1"/>
    <col min="7423" max="7423" width="2.625" style="98" customWidth="1"/>
    <col min="7424" max="7424" width="10.375" style="98" customWidth="1"/>
    <col min="7425" max="7425" width="10.875" style="98" customWidth="1"/>
    <col min="7426" max="7426" width="14.25" style="98" customWidth="1"/>
    <col min="7427" max="7427" width="10.875" style="98" customWidth="1"/>
    <col min="7428" max="7434" width="0" style="98" hidden="1" customWidth="1"/>
    <col min="7435" max="7435" width="9" style="98"/>
    <col min="7436" max="7436" width="10.875" style="98" bestFit="1" customWidth="1"/>
    <col min="7437" max="7667" width="9" style="98"/>
    <col min="7668" max="7668" width="1.5" style="98" customWidth="1"/>
    <col min="7669" max="7669" width="0.75" style="98" customWidth="1"/>
    <col min="7670" max="7675" width="1" style="98" customWidth="1"/>
    <col min="7676" max="7676" width="0.5" style="98" customWidth="1"/>
    <col min="7677" max="7677" width="31.25" style="98" customWidth="1"/>
    <col min="7678" max="7678" width="33.5" style="98" customWidth="1"/>
    <col min="7679" max="7679" width="2.625" style="98" customWidth="1"/>
    <col min="7680" max="7680" width="10.375" style="98" customWidth="1"/>
    <col min="7681" max="7681" width="10.875" style="98" customWidth="1"/>
    <col min="7682" max="7682" width="14.25" style="98" customWidth="1"/>
    <col min="7683" max="7683" width="10.875" style="98" customWidth="1"/>
    <col min="7684" max="7690" width="0" style="98" hidden="1" customWidth="1"/>
    <col min="7691" max="7691" width="9" style="98"/>
    <col min="7692" max="7692" width="10.875" style="98" bestFit="1" customWidth="1"/>
    <col min="7693" max="7923" width="9" style="98"/>
    <col min="7924" max="7924" width="1.5" style="98" customWidth="1"/>
    <col min="7925" max="7925" width="0.75" style="98" customWidth="1"/>
    <col min="7926" max="7931" width="1" style="98" customWidth="1"/>
    <col min="7932" max="7932" width="0.5" style="98" customWidth="1"/>
    <col min="7933" max="7933" width="31.25" style="98" customWidth="1"/>
    <col min="7934" max="7934" width="33.5" style="98" customWidth="1"/>
    <col min="7935" max="7935" width="2.625" style="98" customWidth="1"/>
    <col min="7936" max="7936" width="10.375" style="98" customWidth="1"/>
    <col min="7937" max="7937" width="10.875" style="98" customWidth="1"/>
    <col min="7938" max="7938" width="14.25" style="98" customWidth="1"/>
    <col min="7939" max="7939" width="10.875" style="98" customWidth="1"/>
    <col min="7940" max="7946" width="0" style="98" hidden="1" customWidth="1"/>
    <col min="7947" max="7947" width="9" style="98"/>
    <col min="7948" max="7948" width="10.875" style="98" bestFit="1" customWidth="1"/>
    <col min="7949" max="8179" width="9" style="98"/>
    <col min="8180" max="8180" width="1.5" style="98" customWidth="1"/>
    <col min="8181" max="8181" width="0.75" style="98" customWidth="1"/>
    <col min="8182" max="8187" width="1" style="98" customWidth="1"/>
    <col min="8188" max="8188" width="0.5" style="98" customWidth="1"/>
    <col min="8189" max="8189" width="31.25" style="98" customWidth="1"/>
    <col min="8190" max="8190" width="33.5" style="98" customWidth="1"/>
    <col min="8191" max="8191" width="2.625" style="98" customWidth="1"/>
    <col min="8192" max="8192" width="10.375" style="98" customWidth="1"/>
    <col min="8193" max="8193" width="10.875" style="98" customWidth="1"/>
    <col min="8194" max="8194" width="14.25" style="98" customWidth="1"/>
    <col min="8195" max="8195" width="10.875" style="98" customWidth="1"/>
    <col min="8196" max="8202" width="0" style="98" hidden="1" customWidth="1"/>
    <col min="8203" max="8203" width="9" style="98"/>
    <col min="8204" max="8204" width="10.875" style="98" bestFit="1" customWidth="1"/>
    <col min="8205" max="8435" width="9" style="98"/>
    <col min="8436" max="8436" width="1.5" style="98" customWidth="1"/>
    <col min="8437" max="8437" width="0.75" style="98" customWidth="1"/>
    <col min="8438" max="8443" width="1" style="98" customWidth="1"/>
    <col min="8444" max="8444" width="0.5" style="98" customWidth="1"/>
    <col min="8445" max="8445" width="31.25" style="98" customWidth="1"/>
    <col min="8446" max="8446" width="33.5" style="98" customWidth="1"/>
    <col min="8447" max="8447" width="2.625" style="98" customWidth="1"/>
    <col min="8448" max="8448" width="10.375" style="98" customWidth="1"/>
    <col min="8449" max="8449" width="10.875" style="98" customWidth="1"/>
    <col min="8450" max="8450" width="14.25" style="98" customWidth="1"/>
    <col min="8451" max="8451" width="10.875" style="98" customWidth="1"/>
    <col min="8452" max="8458" width="0" style="98" hidden="1" customWidth="1"/>
    <col min="8459" max="8459" width="9" style="98"/>
    <col min="8460" max="8460" width="10.875" style="98" bestFit="1" customWidth="1"/>
    <col min="8461" max="8691" width="9" style="98"/>
    <col min="8692" max="8692" width="1.5" style="98" customWidth="1"/>
    <col min="8693" max="8693" width="0.75" style="98" customWidth="1"/>
    <col min="8694" max="8699" width="1" style="98" customWidth="1"/>
    <col min="8700" max="8700" width="0.5" style="98" customWidth="1"/>
    <col min="8701" max="8701" width="31.25" style="98" customWidth="1"/>
    <col min="8702" max="8702" width="33.5" style="98" customWidth="1"/>
    <col min="8703" max="8703" width="2.625" style="98" customWidth="1"/>
    <col min="8704" max="8704" width="10.375" style="98" customWidth="1"/>
    <col min="8705" max="8705" width="10.875" style="98" customWidth="1"/>
    <col min="8706" max="8706" width="14.25" style="98" customWidth="1"/>
    <col min="8707" max="8707" width="10.875" style="98" customWidth="1"/>
    <col min="8708" max="8714" width="0" style="98" hidden="1" customWidth="1"/>
    <col min="8715" max="8715" width="9" style="98"/>
    <col min="8716" max="8716" width="10.875" style="98" bestFit="1" customWidth="1"/>
    <col min="8717" max="8947" width="9" style="98"/>
    <col min="8948" max="8948" width="1.5" style="98" customWidth="1"/>
    <col min="8949" max="8949" width="0.75" style="98" customWidth="1"/>
    <col min="8950" max="8955" width="1" style="98" customWidth="1"/>
    <col min="8956" max="8956" width="0.5" style="98" customWidth="1"/>
    <col min="8957" max="8957" width="31.25" style="98" customWidth="1"/>
    <col min="8958" max="8958" width="33.5" style="98" customWidth="1"/>
    <col min="8959" max="8959" width="2.625" style="98" customWidth="1"/>
    <col min="8960" max="8960" width="10.375" style="98" customWidth="1"/>
    <col min="8961" max="8961" width="10.875" style="98" customWidth="1"/>
    <col min="8962" max="8962" width="14.25" style="98" customWidth="1"/>
    <col min="8963" max="8963" width="10.875" style="98" customWidth="1"/>
    <col min="8964" max="8970" width="0" style="98" hidden="1" customWidth="1"/>
    <col min="8971" max="8971" width="9" style="98"/>
    <col min="8972" max="8972" width="10.875" style="98" bestFit="1" customWidth="1"/>
    <col min="8973" max="9203" width="9" style="98"/>
    <col min="9204" max="9204" width="1.5" style="98" customWidth="1"/>
    <col min="9205" max="9205" width="0.75" style="98" customWidth="1"/>
    <col min="9206" max="9211" width="1" style="98" customWidth="1"/>
    <col min="9212" max="9212" width="0.5" style="98" customWidth="1"/>
    <col min="9213" max="9213" width="31.25" style="98" customWidth="1"/>
    <col min="9214" max="9214" width="33.5" style="98" customWidth="1"/>
    <col min="9215" max="9215" width="2.625" style="98" customWidth="1"/>
    <col min="9216" max="9216" width="10.375" style="98" customWidth="1"/>
    <col min="9217" max="9217" width="10.875" style="98" customWidth="1"/>
    <col min="9218" max="9218" width="14.25" style="98" customWidth="1"/>
    <col min="9219" max="9219" width="10.875" style="98" customWidth="1"/>
    <col min="9220" max="9226" width="0" style="98" hidden="1" customWidth="1"/>
    <col min="9227" max="9227" width="9" style="98"/>
    <col min="9228" max="9228" width="10.875" style="98" bestFit="1" customWidth="1"/>
    <col min="9229" max="9459" width="9" style="98"/>
    <col min="9460" max="9460" width="1.5" style="98" customWidth="1"/>
    <col min="9461" max="9461" width="0.75" style="98" customWidth="1"/>
    <col min="9462" max="9467" width="1" style="98" customWidth="1"/>
    <col min="9468" max="9468" width="0.5" style="98" customWidth="1"/>
    <col min="9469" max="9469" width="31.25" style="98" customWidth="1"/>
    <col min="9470" max="9470" width="33.5" style="98" customWidth="1"/>
    <col min="9471" max="9471" width="2.625" style="98" customWidth="1"/>
    <col min="9472" max="9472" width="10.375" style="98" customWidth="1"/>
    <col min="9473" max="9473" width="10.875" style="98" customWidth="1"/>
    <col min="9474" max="9474" width="14.25" style="98" customWidth="1"/>
    <col min="9475" max="9475" width="10.875" style="98" customWidth="1"/>
    <col min="9476" max="9482" width="0" style="98" hidden="1" customWidth="1"/>
    <col min="9483" max="9483" width="9" style="98"/>
    <col min="9484" max="9484" width="10.875" style="98" bestFit="1" customWidth="1"/>
    <col min="9485" max="9715" width="9" style="98"/>
    <col min="9716" max="9716" width="1.5" style="98" customWidth="1"/>
    <col min="9717" max="9717" width="0.75" style="98" customWidth="1"/>
    <col min="9718" max="9723" width="1" style="98" customWidth="1"/>
    <col min="9724" max="9724" width="0.5" style="98" customWidth="1"/>
    <col min="9725" max="9725" width="31.25" style="98" customWidth="1"/>
    <col min="9726" max="9726" width="33.5" style="98" customWidth="1"/>
    <col min="9727" max="9727" width="2.625" style="98" customWidth="1"/>
    <col min="9728" max="9728" width="10.375" style="98" customWidth="1"/>
    <col min="9729" max="9729" width="10.875" style="98" customWidth="1"/>
    <col min="9730" max="9730" width="14.25" style="98" customWidth="1"/>
    <col min="9731" max="9731" width="10.875" style="98" customWidth="1"/>
    <col min="9732" max="9738" width="0" style="98" hidden="1" customWidth="1"/>
    <col min="9739" max="9739" width="9" style="98"/>
    <col min="9740" max="9740" width="10.875" style="98" bestFit="1" customWidth="1"/>
    <col min="9741" max="9971" width="9" style="98"/>
    <col min="9972" max="9972" width="1.5" style="98" customWidth="1"/>
    <col min="9973" max="9973" width="0.75" style="98" customWidth="1"/>
    <col min="9974" max="9979" width="1" style="98" customWidth="1"/>
    <col min="9980" max="9980" width="0.5" style="98" customWidth="1"/>
    <col min="9981" max="9981" width="31.25" style="98" customWidth="1"/>
    <col min="9982" max="9982" width="33.5" style="98" customWidth="1"/>
    <col min="9983" max="9983" width="2.625" style="98" customWidth="1"/>
    <col min="9984" max="9984" width="10.375" style="98" customWidth="1"/>
    <col min="9985" max="9985" width="10.875" style="98" customWidth="1"/>
    <col min="9986" max="9986" width="14.25" style="98" customWidth="1"/>
    <col min="9987" max="9987" width="10.875" style="98" customWidth="1"/>
    <col min="9988" max="9994" width="0" style="98" hidden="1" customWidth="1"/>
    <col min="9995" max="9995" width="9" style="98"/>
    <col min="9996" max="9996" width="10.875" style="98" bestFit="1" customWidth="1"/>
    <col min="9997" max="10227" width="9" style="98"/>
    <col min="10228" max="10228" width="1.5" style="98" customWidth="1"/>
    <col min="10229" max="10229" width="0.75" style="98" customWidth="1"/>
    <col min="10230" max="10235" width="1" style="98" customWidth="1"/>
    <col min="10236" max="10236" width="0.5" style="98" customWidth="1"/>
    <col min="10237" max="10237" width="31.25" style="98" customWidth="1"/>
    <col min="10238" max="10238" width="33.5" style="98" customWidth="1"/>
    <col min="10239" max="10239" width="2.625" style="98" customWidth="1"/>
    <col min="10240" max="10240" width="10.375" style="98" customWidth="1"/>
    <col min="10241" max="10241" width="10.875" style="98" customWidth="1"/>
    <col min="10242" max="10242" width="14.25" style="98" customWidth="1"/>
    <col min="10243" max="10243" width="10.875" style="98" customWidth="1"/>
    <col min="10244" max="10250" width="0" style="98" hidden="1" customWidth="1"/>
    <col min="10251" max="10251" width="9" style="98"/>
    <col min="10252" max="10252" width="10.875" style="98" bestFit="1" customWidth="1"/>
    <col min="10253" max="10483" width="9" style="98"/>
    <col min="10484" max="10484" width="1.5" style="98" customWidth="1"/>
    <col min="10485" max="10485" width="0.75" style="98" customWidth="1"/>
    <col min="10486" max="10491" width="1" style="98" customWidth="1"/>
    <col min="10492" max="10492" width="0.5" style="98" customWidth="1"/>
    <col min="10493" max="10493" width="31.25" style="98" customWidth="1"/>
    <col min="10494" max="10494" width="33.5" style="98" customWidth="1"/>
    <col min="10495" max="10495" width="2.625" style="98" customWidth="1"/>
    <col min="10496" max="10496" width="10.375" style="98" customWidth="1"/>
    <col min="10497" max="10497" width="10.875" style="98" customWidth="1"/>
    <col min="10498" max="10498" width="14.25" style="98" customWidth="1"/>
    <col min="10499" max="10499" width="10.875" style="98" customWidth="1"/>
    <col min="10500" max="10506" width="0" style="98" hidden="1" customWidth="1"/>
    <col min="10507" max="10507" width="9" style="98"/>
    <col min="10508" max="10508" width="10.875" style="98" bestFit="1" customWidth="1"/>
    <col min="10509" max="10739" width="9" style="98"/>
    <col min="10740" max="10740" width="1.5" style="98" customWidth="1"/>
    <col min="10741" max="10741" width="0.75" style="98" customWidth="1"/>
    <col min="10742" max="10747" width="1" style="98" customWidth="1"/>
    <col min="10748" max="10748" width="0.5" style="98" customWidth="1"/>
    <col min="10749" max="10749" width="31.25" style="98" customWidth="1"/>
    <col min="10750" max="10750" width="33.5" style="98" customWidth="1"/>
    <col min="10751" max="10751" width="2.625" style="98" customWidth="1"/>
    <col min="10752" max="10752" width="10.375" style="98" customWidth="1"/>
    <col min="10753" max="10753" width="10.875" style="98" customWidth="1"/>
    <col min="10754" max="10754" width="14.25" style="98" customWidth="1"/>
    <col min="10755" max="10755" width="10.875" style="98" customWidth="1"/>
    <col min="10756" max="10762" width="0" style="98" hidden="1" customWidth="1"/>
    <col min="10763" max="10763" width="9" style="98"/>
    <col min="10764" max="10764" width="10.875" style="98" bestFit="1" customWidth="1"/>
    <col min="10765" max="10995" width="9" style="98"/>
    <col min="10996" max="10996" width="1.5" style="98" customWidth="1"/>
    <col min="10997" max="10997" width="0.75" style="98" customWidth="1"/>
    <col min="10998" max="11003" width="1" style="98" customWidth="1"/>
    <col min="11004" max="11004" width="0.5" style="98" customWidth="1"/>
    <col min="11005" max="11005" width="31.25" style="98" customWidth="1"/>
    <col min="11006" max="11006" width="33.5" style="98" customWidth="1"/>
    <col min="11007" max="11007" width="2.625" style="98" customWidth="1"/>
    <col min="11008" max="11008" width="10.375" style="98" customWidth="1"/>
    <col min="11009" max="11009" width="10.875" style="98" customWidth="1"/>
    <col min="11010" max="11010" width="14.25" style="98" customWidth="1"/>
    <col min="11011" max="11011" width="10.875" style="98" customWidth="1"/>
    <col min="11012" max="11018" width="0" style="98" hidden="1" customWidth="1"/>
    <col min="11019" max="11019" width="9" style="98"/>
    <col min="11020" max="11020" width="10.875" style="98" bestFit="1" customWidth="1"/>
    <col min="11021" max="11251" width="9" style="98"/>
    <col min="11252" max="11252" width="1.5" style="98" customWidth="1"/>
    <col min="11253" max="11253" width="0.75" style="98" customWidth="1"/>
    <col min="11254" max="11259" width="1" style="98" customWidth="1"/>
    <col min="11260" max="11260" width="0.5" style="98" customWidth="1"/>
    <col min="11261" max="11261" width="31.25" style="98" customWidth="1"/>
    <col min="11262" max="11262" width="33.5" style="98" customWidth="1"/>
    <col min="11263" max="11263" width="2.625" style="98" customWidth="1"/>
    <col min="11264" max="11264" width="10.375" style="98" customWidth="1"/>
    <col min="11265" max="11265" width="10.875" style="98" customWidth="1"/>
    <col min="11266" max="11266" width="14.25" style="98" customWidth="1"/>
    <col min="11267" max="11267" width="10.875" style="98" customWidth="1"/>
    <col min="11268" max="11274" width="0" style="98" hidden="1" customWidth="1"/>
    <col min="11275" max="11275" width="9" style="98"/>
    <col min="11276" max="11276" width="10.875" style="98" bestFit="1" customWidth="1"/>
    <col min="11277" max="11507" width="9" style="98"/>
    <col min="11508" max="11508" width="1.5" style="98" customWidth="1"/>
    <col min="11509" max="11509" width="0.75" style="98" customWidth="1"/>
    <col min="11510" max="11515" width="1" style="98" customWidth="1"/>
    <col min="11516" max="11516" width="0.5" style="98" customWidth="1"/>
    <col min="11517" max="11517" width="31.25" style="98" customWidth="1"/>
    <col min="11518" max="11518" width="33.5" style="98" customWidth="1"/>
    <col min="11519" max="11519" width="2.625" style="98" customWidth="1"/>
    <col min="11520" max="11520" width="10.375" style="98" customWidth="1"/>
    <col min="11521" max="11521" width="10.875" style="98" customWidth="1"/>
    <col min="11522" max="11522" width="14.25" style="98" customWidth="1"/>
    <col min="11523" max="11523" width="10.875" style="98" customWidth="1"/>
    <col min="11524" max="11530" width="0" style="98" hidden="1" customWidth="1"/>
    <col min="11531" max="11531" width="9" style="98"/>
    <col min="11532" max="11532" width="10.875" style="98" bestFit="1" customWidth="1"/>
    <col min="11533" max="11763" width="9" style="98"/>
    <col min="11764" max="11764" width="1.5" style="98" customWidth="1"/>
    <col min="11765" max="11765" width="0.75" style="98" customWidth="1"/>
    <col min="11766" max="11771" width="1" style="98" customWidth="1"/>
    <col min="11772" max="11772" width="0.5" style="98" customWidth="1"/>
    <col min="11773" max="11773" width="31.25" style="98" customWidth="1"/>
    <col min="11774" max="11774" width="33.5" style="98" customWidth="1"/>
    <col min="11775" max="11775" width="2.625" style="98" customWidth="1"/>
    <col min="11776" max="11776" width="10.375" style="98" customWidth="1"/>
    <col min="11777" max="11777" width="10.875" style="98" customWidth="1"/>
    <col min="11778" max="11778" width="14.25" style="98" customWidth="1"/>
    <col min="11779" max="11779" width="10.875" style="98" customWidth="1"/>
    <col min="11780" max="11786" width="0" style="98" hidden="1" customWidth="1"/>
    <col min="11787" max="11787" width="9" style="98"/>
    <col min="11788" max="11788" width="10.875" style="98" bestFit="1" customWidth="1"/>
    <col min="11789" max="12019" width="9" style="98"/>
    <col min="12020" max="12020" width="1.5" style="98" customWidth="1"/>
    <col min="12021" max="12021" width="0.75" style="98" customWidth="1"/>
    <col min="12022" max="12027" width="1" style="98" customWidth="1"/>
    <col min="12028" max="12028" width="0.5" style="98" customWidth="1"/>
    <col min="12029" max="12029" width="31.25" style="98" customWidth="1"/>
    <col min="12030" max="12030" width="33.5" style="98" customWidth="1"/>
    <col min="12031" max="12031" width="2.625" style="98" customWidth="1"/>
    <col min="12032" max="12032" width="10.375" style="98" customWidth="1"/>
    <col min="12033" max="12033" width="10.875" style="98" customWidth="1"/>
    <col min="12034" max="12034" width="14.25" style="98" customWidth="1"/>
    <col min="12035" max="12035" width="10.875" style="98" customWidth="1"/>
    <col min="12036" max="12042" width="0" style="98" hidden="1" customWidth="1"/>
    <col min="12043" max="12043" width="9" style="98"/>
    <col min="12044" max="12044" width="10.875" style="98" bestFit="1" customWidth="1"/>
    <col min="12045" max="12275" width="9" style="98"/>
    <col min="12276" max="12276" width="1.5" style="98" customWidth="1"/>
    <col min="12277" max="12277" width="0.75" style="98" customWidth="1"/>
    <col min="12278" max="12283" width="1" style="98" customWidth="1"/>
    <col min="12284" max="12284" width="0.5" style="98" customWidth="1"/>
    <col min="12285" max="12285" width="31.25" style="98" customWidth="1"/>
    <col min="12286" max="12286" width="33.5" style="98" customWidth="1"/>
    <col min="12287" max="12287" width="2.625" style="98" customWidth="1"/>
    <col min="12288" max="12288" width="10.375" style="98" customWidth="1"/>
    <col min="12289" max="12289" width="10.875" style="98" customWidth="1"/>
    <col min="12290" max="12290" width="14.25" style="98" customWidth="1"/>
    <col min="12291" max="12291" width="10.875" style="98" customWidth="1"/>
    <col min="12292" max="12298" width="0" style="98" hidden="1" customWidth="1"/>
    <col min="12299" max="12299" width="9" style="98"/>
    <col min="12300" max="12300" width="10.875" style="98" bestFit="1" customWidth="1"/>
    <col min="12301" max="12531" width="9" style="98"/>
    <col min="12532" max="12532" width="1.5" style="98" customWidth="1"/>
    <col min="12533" max="12533" width="0.75" style="98" customWidth="1"/>
    <col min="12534" max="12539" width="1" style="98" customWidth="1"/>
    <col min="12540" max="12540" width="0.5" style="98" customWidth="1"/>
    <col min="12541" max="12541" width="31.25" style="98" customWidth="1"/>
    <col min="12542" max="12542" width="33.5" style="98" customWidth="1"/>
    <col min="12543" max="12543" width="2.625" style="98" customWidth="1"/>
    <col min="12544" max="12544" width="10.375" style="98" customWidth="1"/>
    <col min="12545" max="12545" width="10.875" style="98" customWidth="1"/>
    <col min="12546" max="12546" width="14.25" style="98" customWidth="1"/>
    <col min="12547" max="12547" width="10.875" style="98" customWidth="1"/>
    <col min="12548" max="12554" width="0" style="98" hidden="1" customWidth="1"/>
    <col min="12555" max="12555" width="9" style="98"/>
    <col min="12556" max="12556" width="10.875" style="98" bestFit="1" customWidth="1"/>
    <col min="12557" max="12787" width="9" style="98"/>
    <col min="12788" max="12788" width="1.5" style="98" customWidth="1"/>
    <col min="12789" max="12789" width="0.75" style="98" customWidth="1"/>
    <col min="12790" max="12795" width="1" style="98" customWidth="1"/>
    <col min="12796" max="12796" width="0.5" style="98" customWidth="1"/>
    <col min="12797" max="12797" width="31.25" style="98" customWidth="1"/>
    <col min="12798" max="12798" width="33.5" style="98" customWidth="1"/>
    <col min="12799" max="12799" width="2.625" style="98" customWidth="1"/>
    <col min="12800" max="12800" width="10.375" style="98" customWidth="1"/>
    <col min="12801" max="12801" width="10.875" style="98" customWidth="1"/>
    <col min="12802" max="12802" width="14.25" style="98" customWidth="1"/>
    <col min="12803" max="12803" width="10.875" style="98" customWidth="1"/>
    <col min="12804" max="12810" width="0" style="98" hidden="1" customWidth="1"/>
    <col min="12811" max="12811" width="9" style="98"/>
    <col min="12812" max="12812" width="10.875" style="98" bestFit="1" customWidth="1"/>
    <col min="12813" max="13043" width="9" style="98"/>
    <col min="13044" max="13044" width="1.5" style="98" customWidth="1"/>
    <col min="13045" max="13045" width="0.75" style="98" customWidth="1"/>
    <col min="13046" max="13051" width="1" style="98" customWidth="1"/>
    <col min="13052" max="13052" width="0.5" style="98" customWidth="1"/>
    <col min="13053" max="13053" width="31.25" style="98" customWidth="1"/>
    <col min="13054" max="13054" width="33.5" style="98" customWidth="1"/>
    <col min="13055" max="13055" width="2.625" style="98" customWidth="1"/>
    <col min="13056" max="13056" width="10.375" style="98" customWidth="1"/>
    <col min="13057" max="13057" width="10.875" style="98" customWidth="1"/>
    <col min="13058" max="13058" width="14.25" style="98" customWidth="1"/>
    <col min="13059" max="13059" width="10.875" style="98" customWidth="1"/>
    <col min="13060" max="13066" width="0" style="98" hidden="1" customWidth="1"/>
    <col min="13067" max="13067" width="9" style="98"/>
    <col min="13068" max="13068" width="10.875" style="98" bestFit="1" customWidth="1"/>
    <col min="13069" max="13299" width="9" style="98"/>
    <col min="13300" max="13300" width="1.5" style="98" customWidth="1"/>
    <col min="13301" max="13301" width="0.75" style="98" customWidth="1"/>
    <col min="13302" max="13307" width="1" style="98" customWidth="1"/>
    <col min="13308" max="13308" width="0.5" style="98" customWidth="1"/>
    <col min="13309" max="13309" width="31.25" style="98" customWidth="1"/>
    <col min="13310" max="13310" width="33.5" style="98" customWidth="1"/>
    <col min="13311" max="13311" width="2.625" style="98" customWidth="1"/>
    <col min="13312" max="13312" width="10.375" style="98" customWidth="1"/>
    <col min="13313" max="13313" width="10.875" style="98" customWidth="1"/>
    <col min="13314" max="13314" width="14.25" style="98" customWidth="1"/>
    <col min="13315" max="13315" width="10.875" style="98" customWidth="1"/>
    <col min="13316" max="13322" width="0" style="98" hidden="1" customWidth="1"/>
    <col min="13323" max="13323" width="9" style="98"/>
    <col min="13324" max="13324" width="10.875" style="98" bestFit="1" customWidth="1"/>
    <col min="13325" max="13555" width="9" style="98"/>
    <col min="13556" max="13556" width="1.5" style="98" customWidth="1"/>
    <col min="13557" max="13557" width="0.75" style="98" customWidth="1"/>
    <col min="13558" max="13563" width="1" style="98" customWidth="1"/>
    <col min="13564" max="13564" width="0.5" style="98" customWidth="1"/>
    <col min="13565" max="13565" width="31.25" style="98" customWidth="1"/>
    <col min="13566" max="13566" width="33.5" style="98" customWidth="1"/>
    <col min="13567" max="13567" width="2.625" style="98" customWidth="1"/>
    <col min="13568" max="13568" width="10.375" style="98" customWidth="1"/>
    <col min="13569" max="13569" width="10.875" style="98" customWidth="1"/>
    <col min="13570" max="13570" width="14.25" style="98" customWidth="1"/>
    <col min="13571" max="13571" width="10.875" style="98" customWidth="1"/>
    <col min="13572" max="13578" width="0" style="98" hidden="1" customWidth="1"/>
    <col min="13579" max="13579" width="9" style="98"/>
    <col min="13580" max="13580" width="10.875" style="98" bestFit="1" customWidth="1"/>
    <col min="13581" max="13811" width="9" style="98"/>
    <col min="13812" max="13812" width="1.5" style="98" customWidth="1"/>
    <col min="13813" max="13813" width="0.75" style="98" customWidth="1"/>
    <col min="13814" max="13819" width="1" style="98" customWidth="1"/>
    <col min="13820" max="13820" width="0.5" style="98" customWidth="1"/>
    <col min="13821" max="13821" width="31.25" style="98" customWidth="1"/>
    <col min="13822" max="13822" width="33.5" style="98" customWidth="1"/>
    <col min="13823" max="13823" width="2.625" style="98" customWidth="1"/>
    <col min="13824" max="13824" width="10.375" style="98" customWidth="1"/>
    <col min="13825" max="13825" width="10.875" style="98" customWidth="1"/>
    <col min="13826" max="13826" width="14.25" style="98" customWidth="1"/>
    <col min="13827" max="13827" width="10.875" style="98" customWidth="1"/>
    <col min="13828" max="13834" width="0" style="98" hidden="1" customWidth="1"/>
    <col min="13835" max="13835" width="9" style="98"/>
    <col min="13836" max="13836" width="10.875" style="98" bestFit="1" customWidth="1"/>
    <col min="13837" max="14067" width="9" style="98"/>
    <col min="14068" max="14068" width="1.5" style="98" customWidth="1"/>
    <col min="14069" max="14069" width="0.75" style="98" customWidth="1"/>
    <col min="14070" max="14075" width="1" style="98" customWidth="1"/>
    <col min="14076" max="14076" width="0.5" style="98" customWidth="1"/>
    <col min="14077" max="14077" width="31.25" style="98" customWidth="1"/>
    <col min="14078" max="14078" width="33.5" style="98" customWidth="1"/>
    <col min="14079" max="14079" width="2.625" style="98" customWidth="1"/>
    <col min="14080" max="14080" width="10.375" style="98" customWidth="1"/>
    <col min="14081" max="14081" width="10.875" style="98" customWidth="1"/>
    <col min="14082" max="14082" width="14.25" style="98" customWidth="1"/>
    <col min="14083" max="14083" width="10.875" style="98" customWidth="1"/>
    <col min="14084" max="14090" width="0" style="98" hidden="1" customWidth="1"/>
    <col min="14091" max="14091" width="9" style="98"/>
    <col min="14092" max="14092" width="10.875" style="98" bestFit="1" customWidth="1"/>
    <col min="14093" max="14323" width="9" style="98"/>
    <col min="14324" max="14324" width="1.5" style="98" customWidth="1"/>
    <col min="14325" max="14325" width="0.75" style="98" customWidth="1"/>
    <col min="14326" max="14331" width="1" style="98" customWidth="1"/>
    <col min="14332" max="14332" width="0.5" style="98" customWidth="1"/>
    <col min="14333" max="14333" width="31.25" style="98" customWidth="1"/>
    <col min="14334" max="14334" width="33.5" style="98" customWidth="1"/>
    <col min="14335" max="14335" width="2.625" style="98" customWidth="1"/>
    <col min="14336" max="14336" width="10.375" style="98" customWidth="1"/>
    <col min="14337" max="14337" width="10.875" style="98" customWidth="1"/>
    <col min="14338" max="14338" width="14.25" style="98" customWidth="1"/>
    <col min="14339" max="14339" width="10.875" style="98" customWidth="1"/>
    <col min="14340" max="14346" width="0" style="98" hidden="1" customWidth="1"/>
    <col min="14347" max="14347" width="9" style="98"/>
    <col min="14348" max="14348" width="10.875" style="98" bestFit="1" customWidth="1"/>
    <col min="14349" max="14579" width="9" style="98"/>
    <col min="14580" max="14580" width="1.5" style="98" customWidth="1"/>
    <col min="14581" max="14581" width="0.75" style="98" customWidth="1"/>
    <col min="14582" max="14587" width="1" style="98" customWidth="1"/>
    <col min="14588" max="14588" width="0.5" style="98" customWidth="1"/>
    <col min="14589" max="14589" width="31.25" style="98" customWidth="1"/>
    <col min="14590" max="14590" width="33.5" style="98" customWidth="1"/>
    <col min="14591" max="14591" width="2.625" style="98" customWidth="1"/>
    <col min="14592" max="14592" width="10.375" style="98" customWidth="1"/>
    <col min="14593" max="14593" width="10.875" style="98" customWidth="1"/>
    <col min="14594" max="14594" width="14.25" style="98" customWidth="1"/>
    <col min="14595" max="14595" width="10.875" style="98" customWidth="1"/>
    <col min="14596" max="14602" width="0" style="98" hidden="1" customWidth="1"/>
    <col min="14603" max="14603" width="9" style="98"/>
    <col min="14604" max="14604" width="10.875" style="98" bestFit="1" customWidth="1"/>
    <col min="14605" max="14835" width="9" style="98"/>
    <col min="14836" max="14836" width="1.5" style="98" customWidth="1"/>
    <col min="14837" max="14837" width="0.75" style="98" customWidth="1"/>
    <col min="14838" max="14843" width="1" style="98" customWidth="1"/>
    <col min="14844" max="14844" width="0.5" style="98" customWidth="1"/>
    <col min="14845" max="14845" width="31.25" style="98" customWidth="1"/>
    <col min="14846" max="14846" width="33.5" style="98" customWidth="1"/>
    <col min="14847" max="14847" width="2.625" style="98" customWidth="1"/>
    <col min="14848" max="14848" width="10.375" style="98" customWidth="1"/>
    <col min="14849" max="14849" width="10.875" style="98" customWidth="1"/>
    <col min="14850" max="14850" width="14.25" style="98" customWidth="1"/>
    <col min="14851" max="14851" width="10.875" style="98" customWidth="1"/>
    <col min="14852" max="14858" width="0" style="98" hidden="1" customWidth="1"/>
    <col min="14859" max="14859" width="9" style="98"/>
    <col min="14860" max="14860" width="10.875" style="98" bestFit="1" customWidth="1"/>
    <col min="14861" max="15091" width="9" style="98"/>
    <col min="15092" max="15092" width="1.5" style="98" customWidth="1"/>
    <col min="15093" max="15093" width="0.75" style="98" customWidth="1"/>
    <col min="15094" max="15099" width="1" style="98" customWidth="1"/>
    <col min="15100" max="15100" width="0.5" style="98" customWidth="1"/>
    <col min="15101" max="15101" width="31.25" style="98" customWidth="1"/>
    <col min="15102" max="15102" width="33.5" style="98" customWidth="1"/>
    <col min="15103" max="15103" width="2.625" style="98" customWidth="1"/>
    <col min="15104" max="15104" width="10.375" style="98" customWidth="1"/>
    <col min="15105" max="15105" width="10.875" style="98" customWidth="1"/>
    <col min="15106" max="15106" width="14.25" style="98" customWidth="1"/>
    <col min="15107" max="15107" width="10.875" style="98" customWidth="1"/>
    <col min="15108" max="15114" width="0" style="98" hidden="1" customWidth="1"/>
    <col min="15115" max="15115" width="9" style="98"/>
    <col min="15116" max="15116" width="10.875" style="98" bestFit="1" customWidth="1"/>
    <col min="15117" max="15347" width="9" style="98"/>
    <col min="15348" max="15348" width="1.5" style="98" customWidth="1"/>
    <col min="15349" max="15349" width="0.75" style="98" customWidth="1"/>
    <col min="15350" max="15355" width="1" style="98" customWidth="1"/>
    <col min="15356" max="15356" width="0.5" style="98" customWidth="1"/>
    <col min="15357" max="15357" width="31.25" style="98" customWidth="1"/>
    <col min="15358" max="15358" width="33.5" style="98" customWidth="1"/>
    <col min="15359" max="15359" width="2.625" style="98" customWidth="1"/>
    <col min="15360" max="15360" width="10.375" style="98" customWidth="1"/>
    <col min="15361" max="15361" width="10.875" style="98" customWidth="1"/>
    <col min="15362" max="15362" width="14.25" style="98" customWidth="1"/>
    <col min="15363" max="15363" width="10.875" style="98" customWidth="1"/>
    <col min="15364" max="15370" width="0" style="98" hidden="1" customWidth="1"/>
    <col min="15371" max="15371" width="9" style="98"/>
    <col min="15372" max="15372" width="10.875" style="98" bestFit="1" customWidth="1"/>
    <col min="15373" max="15603" width="9" style="98"/>
    <col min="15604" max="15604" width="1.5" style="98" customWidth="1"/>
    <col min="15605" max="15605" width="0.75" style="98" customWidth="1"/>
    <col min="15606" max="15611" width="1" style="98" customWidth="1"/>
    <col min="15612" max="15612" width="0.5" style="98" customWidth="1"/>
    <col min="15613" max="15613" width="31.25" style="98" customWidth="1"/>
    <col min="15614" max="15614" width="33.5" style="98" customWidth="1"/>
    <col min="15615" max="15615" width="2.625" style="98" customWidth="1"/>
    <col min="15616" max="15616" width="10.375" style="98" customWidth="1"/>
    <col min="15617" max="15617" width="10.875" style="98" customWidth="1"/>
    <col min="15618" max="15618" width="14.25" style="98" customWidth="1"/>
    <col min="15619" max="15619" width="10.875" style="98" customWidth="1"/>
    <col min="15620" max="15626" width="0" style="98" hidden="1" customWidth="1"/>
    <col min="15627" max="15627" width="9" style="98"/>
    <col min="15628" max="15628" width="10.875" style="98" bestFit="1" customWidth="1"/>
    <col min="15629" max="15859" width="9" style="98"/>
    <col min="15860" max="15860" width="1.5" style="98" customWidth="1"/>
    <col min="15861" max="15861" width="0.75" style="98" customWidth="1"/>
    <col min="15862" max="15867" width="1" style="98" customWidth="1"/>
    <col min="15868" max="15868" width="0.5" style="98" customWidth="1"/>
    <col min="15869" max="15869" width="31.25" style="98" customWidth="1"/>
    <col min="15870" max="15870" width="33.5" style="98" customWidth="1"/>
    <col min="15871" max="15871" width="2.625" style="98" customWidth="1"/>
    <col min="15872" max="15872" width="10.375" style="98" customWidth="1"/>
    <col min="15873" max="15873" width="10.875" style="98" customWidth="1"/>
    <col min="15874" max="15874" width="14.25" style="98" customWidth="1"/>
    <col min="15875" max="15875" width="10.875" style="98" customWidth="1"/>
    <col min="15876" max="15882" width="0" style="98" hidden="1" customWidth="1"/>
    <col min="15883" max="15883" width="9" style="98"/>
    <col min="15884" max="15884" width="10.875" style="98" bestFit="1" customWidth="1"/>
    <col min="15885" max="16115" width="9" style="98"/>
    <col min="16116" max="16116" width="1.5" style="98" customWidth="1"/>
    <col min="16117" max="16117" width="0.75" style="98" customWidth="1"/>
    <col min="16118" max="16123" width="1" style="98" customWidth="1"/>
    <col min="16124" max="16124" width="0.5" style="98" customWidth="1"/>
    <col min="16125" max="16125" width="31.25" style="98" customWidth="1"/>
    <col min="16126" max="16126" width="33.5" style="98" customWidth="1"/>
    <col min="16127" max="16127" width="2.625" style="98" customWidth="1"/>
    <col min="16128" max="16128" width="10.375" style="98" customWidth="1"/>
    <col min="16129" max="16129" width="10.875" style="98" customWidth="1"/>
    <col min="16130" max="16130" width="14.25" style="98" customWidth="1"/>
    <col min="16131" max="16131" width="10.875" style="98" customWidth="1"/>
    <col min="16132" max="16138" width="0" style="98" hidden="1" customWidth="1"/>
    <col min="16139" max="16139" width="9" style="98"/>
    <col min="16140" max="16140" width="10.875" style="98" bestFit="1" customWidth="1"/>
    <col min="16141" max="16384" width="9" style="98"/>
  </cols>
  <sheetData>
    <row r="1" spans="1:18" ht="20.100000000000001" customHeight="1">
      <c r="A1" s="530" t="s">
        <v>1155</v>
      </c>
      <c r="B1" s="530"/>
      <c r="C1" s="530"/>
      <c r="D1" s="530"/>
      <c r="E1" s="530"/>
      <c r="F1" s="530"/>
      <c r="G1" s="530"/>
      <c r="H1" s="530"/>
      <c r="I1" s="530"/>
      <c r="J1" s="530"/>
      <c r="K1" s="530"/>
      <c r="L1" s="530"/>
      <c r="M1" s="530"/>
      <c r="N1" s="161"/>
      <c r="O1" s="161"/>
      <c r="P1" s="152"/>
      <c r="Q1" s="211"/>
    </row>
    <row r="2" spans="1:18" s="82" customFormat="1" ht="5.0999999999999996" customHeight="1">
      <c r="A2" s="258"/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7"/>
      <c r="O2" s="257"/>
      <c r="P2" s="259"/>
      <c r="Q2" s="257"/>
    </row>
    <row r="3" spans="1:18" s="267" customFormat="1" ht="20.100000000000001" customHeight="1">
      <c r="A3" s="499" t="s">
        <v>846</v>
      </c>
      <c r="B3" s="499"/>
      <c r="C3" s="499"/>
      <c r="D3" s="499"/>
      <c r="E3" s="499"/>
      <c r="F3" s="499"/>
      <c r="G3" s="499"/>
      <c r="H3" s="499"/>
      <c r="I3" s="499"/>
      <c r="J3" s="499"/>
      <c r="K3" s="499"/>
      <c r="L3" s="499"/>
      <c r="M3" s="499"/>
      <c r="N3" s="500" t="s">
        <v>1991</v>
      </c>
      <c r="O3" s="500"/>
      <c r="P3" s="263"/>
      <c r="Q3" s="272"/>
    </row>
    <row r="4" spans="1:18" ht="20.100000000000001" customHeight="1">
      <c r="A4" s="399" t="s">
        <v>843</v>
      </c>
      <c r="B4" s="400"/>
      <c r="C4" s="400"/>
      <c r="D4" s="400"/>
      <c r="E4" s="400"/>
      <c r="F4" s="400"/>
      <c r="G4" s="400"/>
      <c r="H4" s="400"/>
      <c r="I4" s="400"/>
      <c r="J4" s="400"/>
      <c r="K4" s="400"/>
      <c r="L4" s="401"/>
      <c r="M4" s="398" t="s">
        <v>2</v>
      </c>
      <c r="N4" s="398" t="s">
        <v>3</v>
      </c>
      <c r="O4" s="392" t="s">
        <v>4</v>
      </c>
      <c r="P4" s="182"/>
      <c r="Q4" s="392" t="s">
        <v>1194</v>
      </c>
    </row>
    <row r="5" spans="1:18" ht="20.100000000000001" customHeight="1">
      <c r="A5" s="394" t="s">
        <v>844</v>
      </c>
      <c r="B5" s="395"/>
      <c r="C5" s="395"/>
      <c r="D5" s="395"/>
      <c r="E5" s="395"/>
      <c r="F5" s="395"/>
      <c r="G5" s="395"/>
      <c r="H5" s="395"/>
      <c r="I5" s="395"/>
      <c r="J5" s="395"/>
      <c r="K5" s="395"/>
      <c r="L5" s="396"/>
      <c r="M5" s="396"/>
      <c r="N5" s="396"/>
      <c r="O5" s="393"/>
      <c r="P5" s="182"/>
      <c r="Q5" s="393"/>
    </row>
    <row r="6" spans="1:18" ht="20.100000000000001" customHeight="1">
      <c r="A6" s="399" t="s">
        <v>823</v>
      </c>
      <c r="B6" s="400"/>
      <c r="C6" s="400"/>
      <c r="D6" s="400"/>
      <c r="E6" s="400"/>
      <c r="F6" s="400"/>
      <c r="G6" s="400"/>
      <c r="H6" s="400"/>
      <c r="I6" s="400"/>
      <c r="J6" s="400"/>
      <c r="K6" s="400"/>
      <c r="L6" s="401"/>
      <c r="M6" s="83">
        <f>M7</f>
        <v>1948380</v>
      </c>
      <c r="N6" s="83">
        <f>N7</f>
        <v>1932454</v>
      </c>
      <c r="O6" s="169">
        <f>M6-N6</f>
        <v>15926</v>
      </c>
      <c r="P6" s="183"/>
      <c r="Q6" s="156"/>
      <c r="R6" s="155"/>
    </row>
    <row r="7" spans="1:18" ht="24.95" customHeight="1">
      <c r="A7" s="485" t="s">
        <v>845</v>
      </c>
      <c r="B7" s="475"/>
      <c r="C7" s="475"/>
      <c r="D7" s="475"/>
      <c r="E7" s="475" t="s">
        <v>847</v>
      </c>
      <c r="F7" s="475"/>
      <c r="G7" s="475"/>
      <c r="H7" s="475"/>
      <c r="I7" s="475"/>
      <c r="J7" s="475"/>
      <c r="K7" s="475"/>
      <c r="L7" s="476"/>
      <c r="M7" s="99">
        <f>SUM(M8,M83)</f>
        <v>1948380</v>
      </c>
      <c r="N7" s="99">
        <f>SUM(N8,N83)</f>
        <v>1932454</v>
      </c>
      <c r="O7" s="102">
        <f>M7-N7</f>
        <v>15926</v>
      </c>
      <c r="P7" s="176"/>
      <c r="Q7" s="212"/>
      <c r="R7" s="100"/>
    </row>
    <row r="8" spans="1:18" ht="24.95" customHeight="1">
      <c r="A8" s="101"/>
      <c r="B8" s="475" t="s">
        <v>848</v>
      </c>
      <c r="C8" s="475"/>
      <c r="D8" s="475"/>
      <c r="E8" s="475"/>
      <c r="F8" s="475" t="s">
        <v>849</v>
      </c>
      <c r="G8" s="475"/>
      <c r="H8" s="475"/>
      <c r="I8" s="475"/>
      <c r="J8" s="475"/>
      <c r="K8" s="475"/>
      <c r="L8" s="476"/>
      <c r="M8" s="102">
        <f t="shared" ref="M8:N9" si="0">SUM(M9)</f>
        <v>1948140</v>
      </c>
      <c r="N8" s="102">
        <f t="shared" si="0"/>
        <v>1931454</v>
      </c>
      <c r="O8" s="102">
        <f>+M8-N8</f>
        <v>16686</v>
      </c>
      <c r="P8" s="177"/>
      <c r="Q8" s="212"/>
    </row>
    <row r="9" spans="1:18" ht="24.95" customHeight="1">
      <c r="A9" s="101"/>
      <c r="B9" s="103" t="s">
        <v>8</v>
      </c>
      <c r="C9" s="488" t="s">
        <v>888</v>
      </c>
      <c r="D9" s="489"/>
      <c r="E9" s="489"/>
      <c r="F9" s="489"/>
      <c r="G9" s="489" t="s">
        <v>889</v>
      </c>
      <c r="H9" s="489"/>
      <c r="I9" s="489"/>
      <c r="J9" s="489"/>
      <c r="K9" s="489"/>
      <c r="L9" s="490"/>
      <c r="M9" s="102">
        <f t="shared" si="0"/>
        <v>1948140</v>
      </c>
      <c r="N9" s="102">
        <f t="shared" si="0"/>
        <v>1931454</v>
      </c>
      <c r="O9" s="102">
        <f>+M9-N9</f>
        <v>16686</v>
      </c>
      <c r="P9" s="177"/>
      <c r="Q9" s="212"/>
    </row>
    <row r="10" spans="1:18" s="93" customFormat="1" ht="24.95" customHeight="1">
      <c r="A10" s="88"/>
      <c r="B10" s="89"/>
      <c r="C10" s="104"/>
      <c r="D10" s="105"/>
      <c r="E10" s="551" t="s">
        <v>890</v>
      </c>
      <c r="F10" s="551"/>
      <c r="G10" s="551"/>
      <c r="H10" s="551"/>
      <c r="I10" s="391" t="s">
        <v>1104</v>
      </c>
      <c r="J10" s="391"/>
      <c r="K10" s="391"/>
      <c r="L10" s="479"/>
      <c r="M10" s="323">
        <f>SUM(M11:M81)</f>
        <v>1948140</v>
      </c>
      <c r="N10" s="323">
        <f>SUM(N11:N81)</f>
        <v>1931454</v>
      </c>
      <c r="O10" s="323">
        <f>+M10-N10</f>
        <v>16686</v>
      </c>
      <c r="P10" s="178"/>
      <c r="Q10" s="354" t="s">
        <v>1238</v>
      </c>
      <c r="R10" s="84"/>
    </row>
    <row r="11" spans="1:18" s="111" customFormat="1" ht="24.95" customHeight="1">
      <c r="A11" s="106"/>
      <c r="B11" s="107"/>
      <c r="C11" s="107"/>
      <c r="D11" s="202"/>
      <c r="E11" s="491" t="s">
        <v>1105</v>
      </c>
      <c r="F11" s="492"/>
      <c r="G11" s="492"/>
      <c r="H11" s="492"/>
      <c r="I11" s="492"/>
      <c r="J11" s="492"/>
      <c r="K11" s="108"/>
      <c r="L11" s="249">
        <f>SUM(L12:L77)</f>
        <v>1880557</v>
      </c>
      <c r="M11" s="329"/>
      <c r="N11" s="329"/>
      <c r="O11" s="348"/>
      <c r="P11" s="176"/>
      <c r="Q11" s="237"/>
    </row>
    <row r="12" spans="1:18" s="113" customFormat="1" ht="24.95" customHeight="1">
      <c r="A12" s="106"/>
      <c r="B12" s="107"/>
      <c r="C12" s="107"/>
      <c r="D12" s="202"/>
      <c r="E12" s="472" t="s">
        <v>1239</v>
      </c>
      <c r="F12" s="473"/>
      <c r="G12" s="473"/>
      <c r="H12" s="473"/>
      <c r="I12" s="473"/>
      <c r="J12" s="474"/>
      <c r="K12" s="474"/>
      <c r="L12" s="109"/>
      <c r="M12" s="109"/>
      <c r="N12" s="112"/>
      <c r="O12" s="171"/>
      <c r="P12" s="176"/>
      <c r="Q12" s="237"/>
    </row>
    <row r="13" spans="1:18" s="113" customFormat="1" ht="24.95" customHeight="1">
      <c r="A13" s="106"/>
      <c r="B13" s="107"/>
      <c r="C13" s="107"/>
      <c r="D13" s="202"/>
      <c r="E13" s="204"/>
      <c r="F13" s="205"/>
      <c r="G13" s="205"/>
      <c r="H13" s="473" t="s">
        <v>1240</v>
      </c>
      <c r="I13" s="473"/>
      <c r="J13" s="203"/>
      <c r="K13" s="203"/>
      <c r="L13" s="109"/>
      <c r="M13" s="325"/>
      <c r="N13" s="326"/>
      <c r="O13" s="333"/>
      <c r="P13" s="332"/>
      <c r="Q13" s="349"/>
    </row>
    <row r="14" spans="1:18" s="113" customFormat="1" ht="24.95" customHeight="1">
      <c r="A14" s="106"/>
      <c r="B14" s="107"/>
      <c r="C14" s="107"/>
      <c r="D14" s="202"/>
      <c r="E14" s="472"/>
      <c r="F14" s="473"/>
      <c r="G14" s="473"/>
      <c r="H14" s="473"/>
      <c r="I14" s="473"/>
      <c r="J14" s="474" t="s">
        <v>1241</v>
      </c>
      <c r="K14" s="474"/>
      <c r="L14" s="109">
        <f>ROUNDDOWN(5581000*0.012,0)</f>
        <v>66972</v>
      </c>
      <c r="M14" s="325">
        <v>66972</v>
      </c>
      <c r="N14" s="326">
        <v>79488</v>
      </c>
      <c r="O14" s="333">
        <f>+M14-N14</f>
        <v>-12516</v>
      </c>
      <c r="P14" s="332"/>
      <c r="Q14" s="349" t="s">
        <v>1242</v>
      </c>
    </row>
    <row r="15" spans="1:18" s="113" customFormat="1" ht="24.95" customHeight="1">
      <c r="A15" s="106"/>
      <c r="B15" s="107"/>
      <c r="C15" s="107"/>
      <c r="D15" s="202"/>
      <c r="E15" s="204"/>
      <c r="F15" s="205"/>
      <c r="G15" s="205"/>
      <c r="H15" s="473" t="s">
        <v>1243</v>
      </c>
      <c r="I15" s="473"/>
      <c r="J15" s="203"/>
      <c r="K15" s="203"/>
      <c r="L15" s="109"/>
      <c r="M15" s="325"/>
      <c r="N15" s="326"/>
      <c r="O15" s="333"/>
      <c r="P15" s="334"/>
      <c r="Q15" s="349"/>
    </row>
    <row r="16" spans="1:18" s="113" customFormat="1" ht="24.95" customHeight="1">
      <c r="A16" s="106"/>
      <c r="B16" s="107"/>
      <c r="C16" s="107"/>
      <c r="D16" s="202"/>
      <c r="E16" s="472"/>
      <c r="F16" s="473"/>
      <c r="G16" s="473"/>
      <c r="H16" s="473"/>
      <c r="I16" s="473"/>
      <c r="J16" s="474" t="s">
        <v>1244</v>
      </c>
      <c r="K16" s="474"/>
      <c r="L16" s="109">
        <f>ROUNDDOWN(4471000*0.012,0)</f>
        <v>53652</v>
      </c>
      <c r="M16" s="325">
        <v>53652</v>
      </c>
      <c r="N16" s="326">
        <v>46368</v>
      </c>
      <c r="O16" s="333">
        <f>+M16-N16</f>
        <v>7284</v>
      </c>
      <c r="P16" s="335"/>
      <c r="Q16" s="349" t="s">
        <v>1242</v>
      </c>
    </row>
    <row r="17" spans="1:17" s="113" customFormat="1" ht="24.95" customHeight="1">
      <c r="A17" s="106"/>
      <c r="B17" s="107"/>
      <c r="C17" s="107"/>
      <c r="D17" s="202"/>
      <c r="E17" s="204"/>
      <c r="F17" s="205"/>
      <c r="G17" s="205"/>
      <c r="H17" s="473" t="s">
        <v>1245</v>
      </c>
      <c r="I17" s="473"/>
      <c r="J17" s="203"/>
      <c r="K17" s="203"/>
      <c r="L17" s="109"/>
      <c r="M17" s="325"/>
      <c r="N17" s="326"/>
      <c r="O17" s="333"/>
      <c r="P17" s="327"/>
      <c r="Q17" s="349"/>
    </row>
    <row r="18" spans="1:17" s="113" customFormat="1" ht="24.95" customHeight="1">
      <c r="A18" s="106"/>
      <c r="B18" s="107"/>
      <c r="C18" s="107"/>
      <c r="D18" s="202"/>
      <c r="E18" s="472"/>
      <c r="F18" s="473"/>
      <c r="G18" s="473"/>
      <c r="H18" s="473"/>
      <c r="I18" s="473"/>
      <c r="J18" s="474" t="s">
        <v>1246</v>
      </c>
      <c r="K18" s="474"/>
      <c r="L18" s="109">
        <f>ROUNDDOWN(3763000*0.012,0)</f>
        <v>45156</v>
      </c>
      <c r="M18" s="325">
        <v>45156</v>
      </c>
      <c r="N18" s="326">
        <v>45408</v>
      </c>
      <c r="O18" s="333">
        <f>+M18-N18</f>
        <v>-252</v>
      </c>
      <c r="P18" s="327"/>
      <c r="Q18" s="349" t="s">
        <v>1242</v>
      </c>
    </row>
    <row r="19" spans="1:17" s="113" customFormat="1" ht="24.95" customHeight="1">
      <c r="A19" s="106"/>
      <c r="B19" s="107"/>
      <c r="C19" s="107"/>
      <c r="D19" s="202"/>
      <c r="E19" s="204"/>
      <c r="F19" s="205"/>
      <c r="G19" s="205"/>
      <c r="H19" s="473" t="s">
        <v>1247</v>
      </c>
      <c r="I19" s="473"/>
      <c r="J19" s="203"/>
      <c r="K19" s="203"/>
      <c r="L19" s="109"/>
      <c r="M19" s="325"/>
      <c r="N19" s="326"/>
      <c r="O19" s="333"/>
      <c r="P19" s="327"/>
      <c r="Q19" s="349"/>
    </row>
    <row r="20" spans="1:17" s="113" customFormat="1" ht="24.95" customHeight="1">
      <c r="A20" s="106"/>
      <c r="B20" s="107"/>
      <c r="C20" s="107"/>
      <c r="D20" s="202"/>
      <c r="E20" s="472"/>
      <c r="F20" s="473"/>
      <c r="G20" s="473"/>
      <c r="H20" s="473"/>
      <c r="I20" s="473"/>
      <c r="J20" s="474" t="s">
        <v>1248</v>
      </c>
      <c r="K20" s="474"/>
      <c r="L20" s="109">
        <f>ROUNDDOWN(8099000*0.012,0)</f>
        <v>97188</v>
      </c>
      <c r="M20" s="325">
        <v>97188</v>
      </c>
      <c r="N20" s="326">
        <v>86940</v>
      </c>
      <c r="O20" s="333">
        <f>+M20-N20</f>
        <v>10248</v>
      </c>
      <c r="P20" s="327"/>
      <c r="Q20" s="349" t="s">
        <v>1242</v>
      </c>
    </row>
    <row r="21" spans="1:17" s="113" customFormat="1" ht="24.95" customHeight="1">
      <c r="A21" s="106"/>
      <c r="B21" s="107"/>
      <c r="C21" s="107"/>
      <c r="D21" s="202"/>
      <c r="E21" s="204"/>
      <c r="F21" s="205"/>
      <c r="G21" s="205"/>
      <c r="H21" s="473" t="s">
        <v>1249</v>
      </c>
      <c r="I21" s="473"/>
      <c r="J21" s="203"/>
      <c r="K21" s="203"/>
      <c r="L21" s="109"/>
      <c r="M21" s="325"/>
      <c r="N21" s="326"/>
      <c r="O21" s="333"/>
      <c r="P21" s="327"/>
      <c r="Q21" s="349"/>
    </row>
    <row r="22" spans="1:17" s="113" customFormat="1" ht="24.95" customHeight="1">
      <c r="A22" s="106"/>
      <c r="B22" s="107"/>
      <c r="C22" s="107"/>
      <c r="D22" s="202"/>
      <c r="E22" s="472"/>
      <c r="F22" s="473"/>
      <c r="G22" s="473"/>
      <c r="H22" s="473"/>
      <c r="I22" s="473"/>
      <c r="J22" s="474" t="s">
        <v>1250</v>
      </c>
      <c r="K22" s="474"/>
      <c r="L22" s="109">
        <f>ROUNDDOWN(4152000*0.012,0)</f>
        <v>49824</v>
      </c>
      <c r="M22" s="325">
        <v>49824</v>
      </c>
      <c r="N22" s="326">
        <v>41736</v>
      </c>
      <c r="O22" s="333">
        <f>+M22-N22</f>
        <v>8088</v>
      </c>
      <c r="P22" s="327"/>
      <c r="Q22" s="349" t="s">
        <v>1242</v>
      </c>
    </row>
    <row r="23" spans="1:17" s="113" customFormat="1" ht="24.95" customHeight="1">
      <c r="A23" s="106"/>
      <c r="B23" s="107"/>
      <c r="C23" s="107"/>
      <c r="D23" s="202"/>
      <c r="E23" s="204"/>
      <c r="F23" s="205"/>
      <c r="G23" s="205"/>
      <c r="H23" s="473" t="s">
        <v>1251</v>
      </c>
      <c r="I23" s="473"/>
      <c r="J23" s="203"/>
      <c r="K23" s="203"/>
      <c r="L23" s="109"/>
      <c r="M23" s="325"/>
      <c r="N23" s="326"/>
      <c r="O23" s="333"/>
      <c r="P23" s="327"/>
      <c r="Q23" s="349"/>
    </row>
    <row r="24" spans="1:17" s="113" customFormat="1" ht="24.95" customHeight="1">
      <c r="A24" s="106"/>
      <c r="B24" s="107"/>
      <c r="C24" s="107"/>
      <c r="D24" s="202"/>
      <c r="E24" s="472"/>
      <c r="F24" s="473"/>
      <c r="G24" s="473"/>
      <c r="H24" s="473"/>
      <c r="I24" s="473"/>
      <c r="J24" s="474" t="s">
        <v>1252</v>
      </c>
      <c r="K24" s="474"/>
      <c r="L24" s="109">
        <f>ROUNDDOWN(3512000*0.012,0)</f>
        <v>42144</v>
      </c>
      <c r="M24" s="325">
        <v>42144</v>
      </c>
      <c r="N24" s="326">
        <v>46368</v>
      </c>
      <c r="O24" s="333">
        <f>+M24-N24</f>
        <v>-4224</v>
      </c>
      <c r="P24" s="327"/>
      <c r="Q24" s="349" t="s">
        <v>1242</v>
      </c>
    </row>
    <row r="25" spans="1:17" s="113" customFormat="1" ht="24.95" customHeight="1">
      <c r="A25" s="106"/>
      <c r="B25" s="107"/>
      <c r="C25" s="107"/>
      <c r="D25" s="202"/>
      <c r="E25" s="204"/>
      <c r="F25" s="205"/>
      <c r="G25" s="205"/>
      <c r="H25" s="473" t="s">
        <v>1253</v>
      </c>
      <c r="I25" s="473"/>
      <c r="J25" s="203"/>
      <c r="K25" s="203"/>
      <c r="L25" s="109"/>
      <c r="M25" s="325"/>
      <c r="N25" s="326"/>
      <c r="O25" s="333"/>
      <c r="P25" s="327"/>
      <c r="Q25" s="349"/>
    </row>
    <row r="26" spans="1:17" s="113" customFormat="1" ht="24.95" customHeight="1">
      <c r="A26" s="106"/>
      <c r="B26" s="107"/>
      <c r="C26" s="107"/>
      <c r="D26" s="202"/>
      <c r="E26" s="472"/>
      <c r="F26" s="473"/>
      <c r="G26" s="473"/>
      <c r="H26" s="473"/>
      <c r="I26" s="473"/>
      <c r="J26" s="474" t="s">
        <v>1254</v>
      </c>
      <c r="K26" s="474"/>
      <c r="L26" s="109">
        <f>ROUNDDOWN(3094000*0.012,0)</f>
        <v>37128</v>
      </c>
      <c r="M26" s="325">
        <v>37128</v>
      </c>
      <c r="N26" s="326">
        <v>38640</v>
      </c>
      <c r="O26" s="333">
        <f>+M26-N26</f>
        <v>-1512</v>
      </c>
      <c r="P26" s="327"/>
      <c r="Q26" s="349" t="s">
        <v>1242</v>
      </c>
    </row>
    <row r="27" spans="1:17" s="113" customFormat="1" ht="24.95" customHeight="1">
      <c r="A27" s="106"/>
      <c r="B27" s="107"/>
      <c r="C27" s="107"/>
      <c r="D27" s="202"/>
      <c r="E27" s="204"/>
      <c r="F27" s="205"/>
      <c r="G27" s="205"/>
      <c r="H27" s="473" t="s">
        <v>1255</v>
      </c>
      <c r="I27" s="473"/>
      <c r="J27" s="203"/>
      <c r="K27" s="203"/>
      <c r="L27" s="109"/>
      <c r="M27" s="325"/>
      <c r="N27" s="326"/>
      <c r="O27" s="333"/>
      <c r="P27" s="327"/>
      <c r="Q27" s="349"/>
    </row>
    <row r="28" spans="1:17" s="113" customFormat="1" ht="24.95" customHeight="1">
      <c r="A28" s="106"/>
      <c r="B28" s="107"/>
      <c r="C28" s="107"/>
      <c r="D28" s="202"/>
      <c r="E28" s="472"/>
      <c r="F28" s="473"/>
      <c r="G28" s="473"/>
      <c r="H28" s="473"/>
      <c r="I28" s="473"/>
      <c r="J28" s="474" t="s">
        <v>1256</v>
      </c>
      <c r="K28" s="474"/>
      <c r="L28" s="109">
        <f>ROUNDDOWN(3025000*0.012,0)</f>
        <v>36300</v>
      </c>
      <c r="M28" s="325">
        <v>36300</v>
      </c>
      <c r="N28" s="326">
        <v>36708</v>
      </c>
      <c r="O28" s="333">
        <f>+M28-N28</f>
        <v>-408</v>
      </c>
      <c r="P28" s="327"/>
      <c r="Q28" s="349" t="s">
        <v>1242</v>
      </c>
    </row>
    <row r="29" spans="1:17" s="113" customFormat="1" ht="24.95" customHeight="1">
      <c r="A29" s="106"/>
      <c r="B29" s="107"/>
      <c r="C29" s="107"/>
      <c r="D29" s="202"/>
      <c r="E29" s="204"/>
      <c r="F29" s="205"/>
      <c r="G29" s="205"/>
      <c r="H29" s="473" t="s">
        <v>1257</v>
      </c>
      <c r="I29" s="473"/>
      <c r="J29" s="203"/>
      <c r="K29" s="203"/>
      <c r="L29" s="109"/>
      <c r="M29" s="325"/>
      <c r="N29" s="326"/>
      <c r="O29" s="333"/>
      <c r="P29" s="327"/>
      <c r="Q29" s="349"/>
    </row>
    <row r="30" spans="1:17" s="113" customFormat="1" ht="24.95" customHeight="1">
      <c r="A30" s="106"/>
      <c r="B30" s="107"/>
      <c r="C30" s="107"/>
      <c r="D30" s="202"/>
      <c r="E30" s="472"/>
      <c r="F30" s="473"/>
      <c r="G30" s="473"/>
      <c r="H30" s="473"/>
      <c r="I30" s="473"/>
      <c r="J30" s="474" t="s">
        <v>1258</v>
      </c>
      <c r="K30" s="474"/>
      <c r="L30" s="109">
        <f>ROUNDDOWN(2521000*0.012,0)</f>
        <v>30252</v>
      </c>
      <c r="M30" s="325">
        <v>30252</v>
      </c>
      <c r="N30" s="326">
        <v>32232</v>
      </c>
      <c r="O30" s="333">
        <f>+M30-N30</f>
        <v>-1980</v>
      </c>
      <c r="P30" s="327"/>
      <c r="Q30" s="349" t="s">
        <v>1242</v>
      </c>
    </row>
    <row r="31" spans="1:17" s="113" customFormat="1" ht="24.95" customHeight="1">
      <c r="A31" s="106"/>
      <c r="B31" s="107"/>
      <c r="C31" s="107"/>
      <c r="D31" s="202"/>
      <c r="E31" s="204"/>
      <c r="F31" s="205"/>
      <c r="G31" s="205"/>
      <c r="H31" s="473" t="s">
        <v>1259</v>
      </c>
      <c r="I31" s="473"/>
      <c r="J31" s="203"/>
      <c r="K31" s="203"/>
      <c r="L31" s="109"/>
      <c r="M31" s="325"/>
      <c r="N31" s="326"/>
      <c r="O31" s="333"/>
      <c r="P31" s="327"/>
      <c r="Q31" s="349"/>
    </row>
    <row r="32" spans="1:17" s="113" customFormat="1" ht="24.95" customHeight="1">
      <c r="A32" s="106"/>
      <c r="B32" s="107"/>
      <c r="C32" s="107"/>
      <c r="D32" s="202"/>
      <c r="E32" s="472"/>
      <c r="F32" s="473"/>
      <c r="G32" s="473"/>
      <c r="H32" s="473"/>
      <c r="I32" s="473"/>
      <c r="J32" s="474" t="s">
        <v>1260</v>
      </c>
      <c r="K32" s="474"/>
      <c r="L32" s="109">
        <f>ROUNDDOWN(3106000*0.012,0)</f>
        <v>37272</v>
      </c>
      <c r="M32" s="325">
        <v>37272</v>
      </c>
      <c r="N32" s="326">
        <v>39516</v>
      </c>
      <c r="O32" s="333">
        <f>+M32-N32</f>
        <v>-2244</v>
      </c>
      <c r="P32" s="327"/>
      <c r="Q32" s="349" t="s">
        <v>1242</v>
      </c>
    </row>
    <row r="33" spans="1:17" s="113" customFormat="1" ht="24.95" customHeight="1">
      <c r="A33" s="106"/>
      <c r="B33" s="107"/>
      <c r="C33" s="107"/>
      <c r="D33" s="202"/>
      <c r="E33" s="204"/>
      <c r="F33" s="205"/>
      <c r="G33" s="205"/>
      <c r="H33" s="473" t="s">
        <v>1261</v>
      </c>
      <c r="I33" s="473"/>
      <c r="J33" s="203"/>
      <c r="K33" s="203"/>
      <c r="L33" s="109"/>
      <c r="M33" s="325"/>
      <c r="N33" s="326"/>
      <c r="O33" s="333"/>
      <c r="P33" s="327"/>
      <c r="Q33" s="349"/>
    </row>
    <row r="34" spans="1:17" s="113" customFormat="1" ht="24.95" customHeight="1">
      <c r="A34" s="106"/>
      <c r="B34" s="107"/>
      <c r="C34" s="107"/>
      <c r="D34" s="202"/>
      <c r="E34" s="472"/>
      <c r="F34" s="473"/>
      <c r="G34" s="473"/>
      <c r="H34" s="473"/>
      <c r="I34" s="473"/>
      <c r="J34" s="474" t="s">
        <v>1262</v>
      </c>
      <c r="K34" s="474"/>
      <c r="L34" s="109">
        <f>ROUNDDOWN(1036000*0.012,0)</f>
        <v>12432</v>
      </c>
      <c r="M34" s="325">
        <v>12432</v>
      </c>
      <c r="N34" s="326">
        <v>18768</v>
      </c>
      <c r="O34" s="333">
        <f>+M34-N34</f>
        <v>-6336</v>
      </c>
      <c r="P34" s="327"/>
      <c r="Q34" s="349" t="s">
        <v>1242</v>
      </c>
    </row>
    <row r="35" spans="1:17" s="113" customFormat="1" ht="24.95" customHeight="1">
      <c r="A35" s="106"/>
      <c r="B35" s="107"/>
      <c r="C35" s="107"/>
      <c r="D35" s="202"/>
      <c r="E35" s="472" t="s">
        <v>1263</v>
      </c>
      <c r="F35" s="473"/>
      <c r="G35" s="473"/>
      <c r="H35" s="473"/>
      <c r="I35" s="473"/>
      <c r="J35" s="474"/>
      <c r="K35" s="474"/>
      <c r="L35" s="109"/>
      <c r="M35" s="325"/>
      <c r="N35" s="326"/>
      <c r="O35" s="333"/>
      <c r="P35" s="327"/>
      <c r="Q35" s="349"/>
    </row>
    <row r="36" spans="1:17" s="113" customFormat="1" ht="24.95" customHeight="1">
      <c r="A36" s="106"/>
      <c r="B36" s="107"/>
      <c r="C36" s="107"/>
      <c r="D36" s="202"/>
      <c r="E36" s="204"/>
      <c r="F36" s="205"/>
      <c r="G36" s="205"/>
      <c r="H36" s="473" t="s">
        <v>1264</v>
      </c>
      <c r="I36" s="473"/>
      <c r="J36" s="203"/>
      <c r="K36" s="203"/>
      <c r="L36" s="109"/>
      <c r="M36" s="325"/>
      <c r="N36" s="326"/>
      <c r="O36" s="333"/>
      <c r="P36" s="327"/>
      <c r="Q36" s="349"/>
    </row>
    <row r="37" spans="1:17" s="113" customFormat="1" ht="24.95" customHeight="1">
      <c r="A37" s="106"/>
      <c r="B37" s="107"/>
      <c r="C37" s="107"/>
      <c r="D37" s="202"/>
      <c r="E37" s="472"/>
      <c r="F37" s="473"/>
      <c r="G37" s="473"/>
      <c r="H37" s="473"/>
      <c r="I37" s="473"/>
      <c r="J37" s="474" t="s">
        <v>1265</v>
      </c>
      <c r="K37" s="474"/>
      <c r="L37" s="109">
        <v>48984</v>
      </c>
      <c r="M37" s="325">
        <v>48984</v>
      </c>
      <c r="N37" s="326">
        <v>48300</v>
      </c>
      <c r="O37" s="333">
        <f>+M37-N37</f>
        <v>684</v>
      </c>
      <c r="P37" s="327"/>
      <c r="Q37" s="349" t="s">
        <v>1242</v>
      </c>
    </row>
    <row r="38" spans="1:17" s="113" customFormat="1" ht="24.95" customHeight="1">
      <c r="A38" s="106"/>
      <c r="B38" s="107"/>
      <c r="C38" s="107"/>
      <c r="D38" s="202"/>
      <c r="E38" s="204"/>
      <c r="F38" s="205"/>
      <c r="G38" s="205"/>
      <c r="H38" s="473" t="s">
        <v>1266</v>
      </c>
      <c r="I38" s="473"/>
      <c r="J38" s="203"/>
      <c r="K38" s="203"/>
      <c r="L38" s="109"/>
      <c r="M38" s="325"/>
      <c r="N38" s="326"/>
      <c r="O38" s="333"/>
      <c r="P38" s="327"/>
      <c r="Q38" s="349"/>
    </row>
    <row r="39" spans="1:17" s="113" customFormat="1" ht="24.95" customHeight="1">
      <c r="A39" s="106"/>
      <c r="B39" s="107"/>
      <c r="C39" s="107"/>
      <c r="D39" s="202"/>
      <c r="E39" s="472"/>
      <c r="F39" s="473"/>
      <c r="G39" s="473"/>
      <c r="H39" s="473"/>
      <c r="I39" s="473"/>
      <c r="J39" s="474" t="s">
        <v>1267</v>
      </c>
      <c r="K39" s="474"/>
      <c r="L39" s="109">
        <v>24372</v>
      </c>
      <c r="M39" s="325">
        <v>24372</v>
      </c>
      <c r="N39" s="326">
        <v>25500</v>
      </c>
      <c r="O39" s="333">
        <f>+M39-N39</f>
        <v>-1128</v>
      </c>
      <c r="P39" s="327"/>
      <c r="Q39" s="349" t="s">
        <v>1242</v>
      </c>
    </row>
    <row r="40" spans="1:17" s="113" customFormat="1" ht="24.95" customHeight="1">
      <c r="A40" s="106"/>
      <c r="B40" s="107"/>
      <c r="C40" s="107"/>
      <c r="D40" s="202"/>
      <c r="E40" s="204"/>
      <c r="F40" s="205"/>
      <c r="G40" s="205"/>
      <c r="H40" s="473" t="s">
        <v>1268</v>
      </c>
      <c r="I40" s="473"/>
      <c r="J40" s="203"/>
      <c r="K40" s="203"/>
      <c r="L40" s="109"/>
      <c r="M40" s="325"/>
      <c r="N40" s="326"/>
      <c r="O40" s="333"/>
      <c r="P40" s="327"/>
      <c r="Q40" s="349"/>
    </row>
    <row r="41" spans="1:17" s="113" customFormat="1" ht="24.95" customHeight="1">
      <c r="A41" s="106"/>
      <c r="B41" s="107"/>
      <c r="C41" s="107"/>
      <c r="D41" s="202"/>
      <c r="E41" s="472"/>
      <c r="F41" s="473"/>
      <c r="G41" s="473"/>
      <c r="H41" s="473"/>
      <c r="I41" s="473"/>
      <c r="J41" s="474" t="s">
        <v>1269</v>
      </c>
      <c r="K41" s="474"/>
      <c r="L41" s="109">
        <v>24048</v>
      </c>
      <c r="M41" s="325">
        <v>24048</v>
      </c>
      <c r="N41" s="326">
        <v>23184</v>
      </c>
      <c r="O41" s="333">
        <f>+M41-N41</f>
        <v>864</v>
      </c>
      <c r="P41" s="327"/>
      <c r="Q41" s="349" t="s">
        <v>1242</v>
      </c>
    </row>
    <row r="42" spans="1:17" s="113" customFormat="1" ht="24.95" customHeight="1">
      <c r="A42" s="106"/>
      <c r="B42" s="107"/>
      <c r="C42" s="107"/>
      <c r="D42" s="202"/>
      <c r="E42" s="204"/>
      <c r="F42" s="205"/>
      <c r="G42" s="205"/>
      <c r="H42" s="473" t="s">
        <v>1270</v>
      </c>
      <c r="I42" s="473"/>
      <c r="J42" s="203"/>
      <c r="K42" s="203"/>
      <c r="L42" s="109"/>
      <c r="M42" s="325"/>
      <c r="N42" s="326"/>
      <c r="O42" s="333"/>
      <c r="P42" s="327"/>
      <c r="Q42" s="349"/>
    </row>
    <row r="43" spans="1:17" s="113" customFormat="1" ht="24.95" customHeight="1">
      <c r="A43" s="106"/>
      <c r="B43" s="107"/>
      <c r="C43" s="107"/>
      <c r="D43" s="202"/>
      <c r="E43" s="472"/>
      <c r="F43" s="473"/>
      <c r="G43" s="473"/>
      <c r="H43" s="473"/>
      <c r="I43" s="473"/>
      <c r="J43" s="474" t="s">
        <v>1271</v>
      </c>
      <c r="K43" s="474"/>
      <c r="L43" s="109">
        <v>112908</v>
      </c>
      <c r="M43" s="325">
        <v>112908</v>
      </c>
      <c r="N43" s="326">
        <v>110400</v>
      </c>
      <c r="O43" s="333">
        <f>+M43-N43</f>
        <v>2508</v>
      </c>
      <c r="P43" s="327"/>
      <c r="Q43" s="349" t="s">
        <v>1242</v>
      </c>
    </row>
    <row r="44" spans="1:17" s="113" customFormat="1" ht="24.95" customHeight="1">
      <c r="A44" s="106"/>
      <c r="B44" s="107"/>
      <c r="C44" s="107"/>
      <c r="D44" s="202"/>
      <c r="E44" s="204"/>
      <c r="F44" s="205"/>
      <c r="G44" s="205"/>
      <c r="H44" s="473" t="s">
        <v>1272</v>
      </c>
      <c r="I44" s="473"/>
      <c r="J44" s="203"/>
      <c r="K44" s="203"/>
      <c r="L44" s="109"/>
      <c r="M44" s="325"/>
      <c r="N44" s="326"/>
      <c r="O44" s="333"/>
      <c r="P44" s="327"/>
      <c r="Q44" s="349"/>
    </row>
    <row r="45" spans="1:17" s="113" customFormat="1" ht="24.95" customHeight="1">
      <c r="A45" s="106"/>
      <c r="B45" s="107"/>
      <c r="C45" s="107"/>
      <c r="D45" s="202"/>
      <c r="E45" s="472"/>
      <c r="F45" s="473"/>
      <c r="G45" s="473"/>
      <c r="H45" s="473"/>
      <c r="I45" s="473"/>
      <c r="J45" s="474" t="s">
        <v>1273</v>
      </c>
      <c r="K45" s="474"/>
      <c r="L45" s="109">
        <v>53280</v>
      </c>
      <c r="M45" s="325">
        <v>53280</v>
      </c>
      <c r="N45" s="326">
        <v>80508</v>
      </c>
      <c r="O45" s="333">
        <f>+M45-N45</f>
        <v>-27228</v>
      </c>
      <c r="P45" s="327"/>
      <c r="Q45" s="349" t="s">
        <v>1242</v>
      </c>
    </row>
    <row r="46" spans="1:17" s="113" customFormat="1" ht="24.95" customHeight="1">
      <c r="A46" s="106"/>
      <c r="B46" s="107"/>
      <c r="C46" s="107"/>
      <c r="D46" s="202"/>
      <c r="E46" s="204"/>
      <c r="F46" s="205"/>
      <c r="G46" s="205"/>
      <c r="H46" s="473" t="s">
        <v>1274</v>
      </c>
      <c r="I46" s="473"/>
      <c r="J46" s="203"/>
      <c r="K46" s="203"/>
      <c r="L46" s="109"/>
      <c r="M46" s="325"/>
      <c r="N46" s="326"/>
      <c r="O46" s="333"/>
      <c r="P46" s="327"/>
      <c r="Q46" s="349"/>
    </row>
    <row r="47" spans="1:17" s="113" customFormat="1" ht="24.95" customHeight="1">
      <c r="A47" s="106"/>
      <c r="B47" s="107"/>
      <c r="C47" s="107"/>
      <c r="D47" s="202"/>
      <c r="E47" s="472"/>
      <c r="F47" s="473"/>
      <c r="G47" s="473"/>
      <c r="H47" s="473"/>
      <c r="I47" s="473"/>
      <c r="J47" s="474" t="s">
        <v>1275</v>
      </c>
      <c r="K47" s="474"/>
      <c r="L47" s="109">
        <v>101532</v>
      </c>
      <c r="M47" s="325">
        <v>101532</v>
      </c>
      <c r="N47" s="326">
        <v>96600</v>
      </c>
      <c r="O47" s="333">
        <f>+M47-N47</f>
        <v>4932</v>
      </c>
      <c r="P47" s="327"/>
      <c r="Q47" s="349" t="s">
        <v>1242</v>
      </c>
    </row>
    <row r="48" spans="1:17" s="113" customFormat="1" ht="24.95" customHeight="1">
      <c r="A48" s="106"/>
      <c r="B48" s="107"/>
      <c r="C48" s="107"/>
      <c r="D48" s="202"/>
      <c r="E48" s="204"/>
      <c r="F48" s="205"/>
      <c r="G48" s="205"/>
      <c r="H48" s="473" t="s">
        <v>1276</v>
      </c>
      <c r="I48" s="473"/>
      <c r="J48" s="203"/>
      <c r="K48" s="203"/>
      <c r="L48" s="109"/>
      <c r="M48" s="325"/>
      <c r="N48" s="326"/>
      <c r="O48" s="333"/>
      <c r="P48" s="327"/>
      <c r="Q48" s="349"/>
    </row>
    <row r="49" spans="1:17" s="113" customFormat="1" ht="24.95" customHeight="1">
      <c r="A49" s="106"/>
      <c r="B49" s="107"/>
      <c r="C49" s="107"/>
      <c r="D49" s="202"/>
      <c r="E49" s="472"/>
      <c r="F49" s="473"/>
      <c r="G49" s="473"/>
      <c r="H49" s="473"/>
      <c r="I49" s="473"/>
      <c r="J49" s="474" t="s">
        <v>1277</v>
      </c>
      <c r="K49" s="474"/>
      <c r="L49" s="109">
        <v>6516</v>
      </c>
      <c r="M49" s="325">
        <v>6516</v>
      </c>
      <c r="N49" s="326">
        <v>0</v>
      </c>
      <c r="O49" s="333">
        <f>+M49-N49</f>
        <v>6516</v>
      </c>
      <c r="P49" s="327"/>
      <c r="Q49" s="349" t="s">
        <v>1242</v>
      </c>
    </row>
    <row r="50" spans="1:17" s="113" customFormat="1" ht="24.95" customHeight="1">
      <c r="A50" s="106"/>
      <c r="B50" s="107"/>
      <c r="C50" s="107"/>
      <c r="D50" s="202"/>
      <c r="E50" s="204"/>
      <c r="F50" s="205"/>
      <c r="G50" s="205"/>
      <c r="H50" s="473" t="s">
        <v>1278</v>
      </c>
      <c r="I50" s="473"/>
      <c r="J50" s="203"/>
      <c r="K50" s="203"/>
      <c r="L50" s="109"/>
      <c r="M50" s="325"/>
      <c r="N50" s="326"/>
      <c r="O50" s="333"/>
      <c r="P50" s="327"/>
      <c r="Q50" s="349"/>
    </row>
    <row r="51" spans="1:17" s="113" customFormat="1" ht="24.95" customHeight="1">
      <c r="A51" s="106"/>
      <c r="B51" s="107"/>
      <c r="C51" s="107"/>
      <c r="D51" s="202"/>
      <c r="E51" s="472"/>
      <c r="F51" s="473"/>
      <c r="G51" s="473"/>
      <c r="H51" s="473"/>
      <c r="I51" s="473"/>
      <c r="J51" s="474" t="s">
        <v>1279</v>
      </c>
      <c r="K51" s="474"/>
      <c r="L51" s="109">
        <v>10105</v>
      </c>
      <c r="M51" s="325">
        <v>10105</v>
      </c>
      <c r="N51" s="326">
        <v>9624</v>
      </c>
      <c r="O51" s="333">
        <f>+M51-N51</f>
        <v>481</v>
      </c>
      <c r="P51" s="327"/>
      <c r="Q51" s="349" t="s">
        <v>1242</v>
      </c>
    </row>
    <row r="52" spans="1:17" s="113" customFormat="1" ht="24.95" customHeight="1">
      <c r="A52" s="106"/>
      <c r="B52" s="107"/>
      <c r="C52" s="107"/>
      <c r="D52" s="202"/>
      <c r="E52" s="204"/>
      <c r="F52" s="205"/>
      <c r="G52" s="205"/>
      <c r="H52" s="473" t="s">
        <v>1280</v>
      </c>
      <c r="I52" s="473"/>
      <c r="J52" s="203"/>
      <c r="K52" s="203"/>
      <c r="L52" s="109"/>
      <c r="M52" s="325"/>
      <c r="N52" s="326"/>
      <c r="O52" s="333"/>
      <c r="P52" s="327"/>
      <c r="Q52" s="349"/>
    </row>
    <row r="53" spans="1:17" s="113" customFormat="1" ht="24.95" customHeight="1">
      <c r="A53" s="106"/>
      <c r="B53" s="107"/>
      <c r="C53" s="107"/>
      <c r="D53" s="202"/>
      <c r="E53" s="472"/>
      <c r="F53" s="473"/>
      <c r="G53" s="473"/>
      <c r="H53" s="473"/>
      <c r="I53" s="473"/>
      <c r="J53" s="474" t="s">
        <v>1281</v>
      </c>
      <c r="K53" s="474"/>
      <c r="L53" s="109">
        <v>7224</v>
      </c>
      <c r="M53" s="325">
        <v>7224</v>
      </c>
      <c r="N53" s="326">
        <v>7728</v>
      </c>
      <c r="O53" s="333">
        <f>+M53-N53</f>
        <v>-504</v>
      </c>
      <c r="P53" s="327"/>
      <c r="Q53" s="349" t="s">
        <v>1242</v>
      </c>
    </row>
    <row r="54" spans="1:17" s="113" customFormat="1" ht="24.95" customHeight="1">
      <c r="A54" s="106"/>
      <c r="B54" s="107"/>
      <c r="C54" s="107"/>
      <c r="D54" s="202"/>
      <c r="E54" s="204"/>
      <c r="F54" s="205"/>
      <c r="G54" s="205"/>
      <c r="H54" s="473" t="s">
        <v>1282</v>
      </c>
      <c r="I54" s="473"/>
      <c r="J54" s="203"/>
      <c r="K54" s="203"/>
      <c r="L54" s="109"/>
      <c r="M54" s="325"/>
      <c r="N54" s="326"/>
      <c r="O54" s="333"/>
      <c r="P54" s="327"/>
      <c r="Q54" s="349"/>
    </row>
    <row r="55" spans="1:17" s="113" customFormat="1" ht="24.95" customHeight="1">
      <c r="A55" s="106"/>
      <c r="B55" s="107"/>
      <c r="C55" s="107"/>
      <c r="D55" s="202"/>
      <c r="E55" s="472"/>
      <c r="F55" s="473"/>
      <c r="G55" s="473"/>
      <c r="H55" s="473"/>
      <c r="I55" s="473"/>
      <c r="J55" s="474" t="s">
        <v>1283</v>
      </c>
      <c r="K55" s="474"/>
      <c r="L55" s="109">
        <v>24012</v>
      </c>
      <c r="M55" s="325">
        <v>24012</v>
      </c>
      <c r="N55" s="326">
        <v>24480</v>
      </c>
      <c r="O55" s="333">
        <f>+M55-N55</f>
        <v>-468</v>
      </c>
      <c r="P55" s="327"/>
      <c r="Q55" s="349" t="s">
        <v>1242</v>
      </c>
    </row>
    <row r="56" spans="1:17" s="113" customFormat="1" ht="24.95" customHeight="1">
      <c r="A56" s="106"/>
      <c r="B56" s="107"/>
      <c r="C56" s="107"/>
      <c r="D56" s="202"/>
      <c r="E56" s="204"/>
      <c r="F56" s="205"/>
      <c r="G56" s="205"/>
      <c r="H56" s="473" t="s">
        <v>1284</v>
      </c>
      <c r="I56" s="473"/>
      <c r="J56" s="203"/>
      <c r="K56" s="203"/>
      <c r="L56" s="109"/>
      <c r="M56" s="325"/>
      <c r="N56" s="326"/>
      <c r="O56" s="333"/>
      <c r="P56" s="327"/>
      <c r="Q56" s="349"/>
    </row>
    <row r="57" spans="1:17" s="113" customFormat="1" ht="24.95" customHeight="1">
      <c r="A57" s="106"/>
      <c r="B57" s="107"/>
      <c r="C57" s="107"/>
      <c r="D57" s="202"/>
      <c r="E57" s="472"/>
      <c r="F57" s="473"/>
      <c r="G57" s="473"/>
      <c r="H57" s="473"/>
      <c r="I57" s="473"/>
      <c r="J57" s="474" t="s">
        <v>1285</v>
      </c>
      <c r="K57" s="474"/>
      <c r="L57" s="109">
        <v>45360</v>
      </c>
      <c r="M57" s="325">
        <v>45360</v>
      </c>
      <c r="N57" s="326">
        <v>43200</v>
      </c>
      <c r="O57" s="333">
        <f>+M57-N57</f>
        <v>2160</v>
      </c>
      <c r="P57" s="327"/>
      <c r="Q57" s="349" t="s">
        <v>1242</v>
      </c>
    </row>
    <row r="58" spans="1:17" s="113" customFormat="1" ht="24.95" customHeight="1">
      <c r="A58" s="106"/>
      <c r="B58" s="107"/>
      <c r="C58" s="107"/>
      <c r="D58" s="202"/>
      <c r="E58" s="204"/>
      <c r="F58" s="205"/>
      <c r="G58" s="205"/>
      <c r="H58" s="473" t="s">
        <v>1286</v>
      </c>
      <c r="I58" s="473"/>
      <c r="J58" s="203"/>
      <c r="K58" s="203"/>
      <c r="L58" s="109"/>
      <c r="M58" s="325"/>
      <c r="N58" s="326"/>
      <c r="O58" s="333"/>
      <c r="P58" s="327"/>
      <c r="Q58" s="349"/>
    </row>
    <row r="59" spans="1:17" s="113" customFormat="1" ht="24.95" customHeight="1">
      <c r="A59" s="106"/>
      <c r="B59" s="107"/>
      <c r="C59" s="107"/>
      <c r="D59" s="202"/>
      <c r="E59" s="472"/>
      <c r="F59" s="473"/>
      <c r="G59" s="473"/>
      <c r="H59" s="473"/>
      <c r="I59" s="473"/>
      <c r="J59" s="474" t="s">
        <v>1287</v>
      </c>
      <c r="K59" s="474"/>
      <c r="L59" s="109">
        <v>26760</v>
      </c>
      <c r="M59" s="325">
        <v>26760</v>
      </c>
      <c r="N59" s="326">
        <v>0</v>
      </c>
      <c r="O59" s="333">
        <f>+M59-N59</f>
        <v>26760</v>
      </c>
      <c r="P59" s="327"/>
      <c r="Q59" s="349" t="s">
        <v>1242</v>
      </c>
    </row>
    <row r="60" spans="1:17" s="113" customFormat="1" ht="24.95" customHeight="1">
      <c r="A60" s="106"/>
      <c r="B60" s="107"/>
      <c r="C60" s="107"/>
      <c r="D60" s="202"/>
      <c r="E60" s="204"/>
      <c r="F60" s="205"/>
      <c r="G60" s="205"/>
      <c r="H60" s="473" t="s">
        <v>1288</v>
      </c>
      <c r="I60" s="473"/>
      <c r="J60" s="203"/>
      <c r="K60" s="203"/>
      <c r="L60" s="109"/>
      <c r="M60" s="325"/>
      <c r="N60" s="326"/>
      <c r="O60" s="333"/>
      <c r="P60" s="327"/>
      <c r="Q60" s="349"/>
    </row>
    <row r="61" spans="1:17" s="113" customFormat="1" ht="24.95" customHeight="1">
      <c r="A61" s="106"/>
      <c r="B61" s="107"/>
      <c r="C61" s="107"/>
      <c r="D61" s="202"/>
      <c r="E61" s="472"/>
      <c r="F61" s="473"/>
      <c r="G61" s="473"/>
      <c r="H61" s="473"/>
      <c r="I61" s="473"/>
      <c r="J61" s="474" t="s">
        <v>1289</v>
      </c>
      <c r="K61" s="474"/>
      <c r="L61" s="109">
        <v>216</v>
      </c>
      <c r="M61" s="325">
        <v>216</v>
      </c>
      <c r="N61" s="326">
        <v>0</v>
      </c>
      <c r="O61" s="333">
        <f>+M61-N61</f>
        <v>216</v>
      </c>
      <c r="P61" s="327"/>
      <c r="Q61" s="349" t="s">
        <v>1242</v>
      </c>
    </row>
    <row r="62" spans="1:17" s="113" customFormat="1" ht="24.95" customHeight="1">
      <c r="A62" s="106"/>
      <c r="B62" s="107"/>
      <c r="C62" s="107"/>
      <c r="D62" s="202"/>
      <c r="E62" s="472" t="s">
        <v>1290</v>
      </c>
      <c r="F62" s="473"/>
      <c r="G62" s="473"/>
      <c r="H62" s="473"/>
      <c r="I62" s="473"/>
      <c r="J62" s="474"/>
      <c r="K62" s="474"/>
      <c r="L62" s="109"/>
      <c r="M62" s="325"/>
      <c r="N62" s="326"/>
      <c r="O62" s="333"/>
      <c r="P62" s="327"/>
      <c r="Q62" s="349"/>
    </row>
    <row r="63" spans="1:17" s="113" customFormat="1" ht="24.95" customHeight="1">
      <c r="A63" s="106"/>
      <c r="B63" s="107"/>
      <c r="C63" s="107"/>
      <c r="D63" s="202"/>
      <c r="E63" s="204"/>
      <c r="F63" s="205"/>
      <c r="G63" s="205"/>
      <c r="H63" s="473" t="s">
        <v>1291</v>
      </c>
      <c r="I63" s="473"/>
      <c r="J63" s="203"/>
      <c r="K63" s="203"/>
      <c r="L63" s="109"/>
      <c r="M63" s="325"/>
      <c r="N63" s="326"/>
      <c r="O63" s="333"/>
      <c r="P63" s="327"/>
      <c r="Q63" s="349"/>
    </row>
    <row r="64" spans="1:17" s="113" customFormat="1" ht="24.95" customHeight="1">
      <c r="A64" s="106"/>
      <c r="B64" s="107"/>
      <c r="C64" s="107"/>
      <c r="D64" s="202"/>
      <c r="E64" s="472" t="s">
        <v>1292</v>
      </c>
      <c r="F64" s="473"/>
      <c r="G64" s="473"/>
      <c r="H64" s="473"/>
      <c r="I64" s="473"/>
      <c r="J64" s="474"/>
      <c r="K64" s="474"/>
      <c r="L64" s="109"/>
      <c r="M64" s="325"/>
      <c r="N64" s="326"/>
      <c r="O64" s="333"/>
      <c r="P64" s="327"/>
      <c r="Q64" s="349"/>
    </row>
    <row r="65" spans="1:18" s="113" customFormat="1" ht="24.95" customHeight="1">
      <c r="A65" s="106"/>
      <c r="B65" s="107"/>
      <c r="C65" s="107"/>
      <c r="D65" s="202"/>
      <c r="E65" s="472"/>
      <c r="F65" s="473"/>
      <c r="G65" s="473"/>
      <c r="H65" s="473"/>
      <c r="I65" s="473"/>
      <c r="J65" s="474" t="s">
        <v>1106</v>
      </c>
      <c r="K65" s="474"/>
      <c r="L65" s="109">
        <f>ROUNDDOWN(15300000*0.012,0)</f>
        <v>183600</v>
      </c>
      <c r="M65" s="325">
        <v>183600</v>
      </c>
      <c r="N65" s="326">
        <v>183600</v>
      </c>
      <c r="O65" s="333">
        <f>+M65-N65</f>
        <v>0</v>
      </c>
      <c r="P65" s="327"/>
      <c r="Q65" s="349"/>
    </row>
    <row r="66" spans="1:18" s="113" customFormat="1" ht="24.95" customHeight="1">
      <c r="A66" s="106"/>
      <c r="B66" s="107"/>
      <c r="C66" s="107"/>
      <c r="D66" s="202"/>
      <c r="E66" s="204"/>
      <c r="F66" s="205"/>
      <c r="G66" s="205"/>
      <c r="H66" s="473" t="s">
        <v>1293</v>
      </c>
      <c r="I66" s="473"/>
      <c r="J66" s="203"/>
      <c r="K66" s="203"/>
      <c r="L66" s="109"/>
      <c r="M66" s="325"/>
      <c r="N66" s="326"/>
      <c r="O66" s="333"/>
      <c r="P66" s="327"/>
      <c r="Q66" s="349"/>
    </row>
    <row r="67" spans="1:18" s="113" customFormat="1" ht="24.95" customHeight="1">
      <c r="A67" s="106"/>
      <c r="B67" s="107"/>
      <c r="C67" s="107"/>
      <c r="D67" s="202"/>
      <c r="E67" s="472" t="s">
        <v>1294</v>
      </c>
      <c r="F67" s="473"/>
      <c r="G67" s="473"/>
      <c r="H67" s="473"/>
      <c r="I67" s="473"/>
      <c r="J67" s="474"/>
      <c r="K67" s="474"/>
      <c r="L67" s="109"/>
      <c r="M67" s="325"/>
      <c r="N67" s="326"/>
      <c r="O67" s="333"/>
      <c r="P67" s="327"/>
      <c r="Q67" s="349"/>
    </row>
    <row r="68" spans="1:18" s="113" customFormat="1" ht="24.95" customHeight="1">
      <c r="A68" s="106"/>
      <c r="B68" s="107"/>
      <c r="C68" s="107"/>
      <c r="D68" s="202"/>
      <c r="E68" s="472"/>
      <c r="F68" s="473"/>
      <c r="G68" s="473"/>
      <c r="H68" s="473"/>
      <c r="I68" s="473"/>
      <c r="J68" s="474" t="s">
        <v>1107</v>
      </c>
      <c r="K68" s="474"/>
      <c r="L68" s="109">
        <f>ROUNDDOWN(8700000*0.012,0)</f>
        <v>104400</v>
      </c>
      <c r="M68" s="325">
        <v>104400</v>
      </c>
      <c r="N68" s="326">
        <v>104400</v>
      </c>
      <c r="O68" s="333">
        <f>+M68-N68</f>
        <v>0</v>
      </c>
      <c r="P68" s="327"/>
      <c r="Q68" s="349"/>
    </row>
    <row r="69" spans="1:18" s="113" customFormat="1" ht="24.95" customHeight="1">
      <c r="A69" s="106"/>
      <c r="B69" s="107"/>
      <c r="C69" s="107"/>
      <c r="D69" s="202"/>
      <c r="E69" s="472" t="s">
        <v>1109</v>
      </c>
      <c r="F69" s="473"/>
      <c r="G69" s="473"/>
      <c r="H69" s="473"/>
      <c r="I69" s="473"/>
      <c r="J69" s="474"/>
      <c r="K69" s="474"/>
      <c r="L69" s="109"/>
      <c r="M69" s="325"/>
      <c r="N69" s="326"/>
      <c r="O69" s="333"/>
      <c r="P69" s="327"/>
      <c r="Q69" s="349"/>
    </row>
    <row r="70" spans="1:18" s="113" customFormat="1" ht="24.95" customHeight="1">
      <c r="A70" s="106"/>
      <c r="B70" s="107"/>
      <c r="C70" s="107"/>
      <c r="D70" s="202"/>
      <c r="E70" s="472"/>
      <c r="F70" s="473"/>
      <c r="G70" s="473"/>
      <c r="H70" s="473"/>
      <c r="I70" s="473"/>
      <c r="J70" s="474" t="s">
        <v>1108</v>
      </c>
      <c r="K70" s="474"/>
      <c r="L70" s="109">
        <f>ROUNDDOWN(2040000*0.012,0)</f>
        <v>24480</v>
      </c>
      <c r="M70" s="325">
        <v>24480</v>
      </c>
      <c r="N70" s="326">
        <v>24480</v>
      </c>
      <c r="O70" s="333">
        <f>+M70-N70</f>
        <v>0</v>
      </c>
      <c r="P70" s="327"/>
      <c r="Q70" s="349"/>
    </row>
    <row r="71" spans="1:18" s="113" customFormat="1" ht="24.95" customHeight="1">
      <c r="A71" s="106"/>
      <c r="B71" s="107"/>
      <c r="C71" s="107"/>
      <c r="D71" s="202"/>
      <c r="E71" s="204"/>
      <c r="F71" s="205"/>
      <c r="G71" s="205"/>
      <c r="H71" s="473" t="s">
        <v>1295</v>
      </c>
      <c r="I71" s="473"/>
      <c r="J71" s="203"/>
      <c r="K71" s="203"/>
      <c r="L71" s="109"/>
      <c r="M71" s="325"/>
      <c r="N71" s="326"/>
      <c r="O71" s="333"/>
      <c r="P71" s="327"/>
      <c r="Q71" s="349"/>
    </row>
    <row r="72" spans="1:18" s="113" customFormat="1" ht="24.95" customHeight="1">
      <c r="A72" s="106"/>
      <c r="B72" s="107"/>
      <c r="C72" s="107"/>
      <c r="D72" s="202"/>
      <c r="E72" s="472" t="s">
        <v>1296</v>
      </c>
      <c r="F72" s="473"/>
      <c r="G72" s="473"/>
      <c r="H72" s="473"/>
      <c r="I72" s="473"/>
      <c r="J72" s="474"/>
      <c r="K72" s="474"/>
      <c r="L72" s="109"/>
      <c r="M72" s="325"/>
      <c r="N72" s="326"/>
      <c r="O72" s="333"/>
      <c r="P72" s="327"/>
      <c r="Q72" s="349"/>
    </row>
    <row r="73" spans="1:18" s="113" customFormat="1" ht="24.95" customHeight="1">
      <c r="A73" s="106"/>
      <c r="B73" s="107"/>
      <c r="C73" s="107"/>
      <c r="D73" s="202"/>
      <c r="E73" s="472"/>
      <c r="F73" s="473"/>
      <c r="G73" s="473"/>
      <c r="H73" s="473"/>
      <c r="I73" s="473"/>
      <c r="J73" s="474" t="s">
        <v>1110</v>
      </c>
      <c r="K73" s="474"/>
      <c r="L73" s="109">
        <f>ROUNDDOWN(38750000*0.012,0)</f>
        <v>465000</v>
      </c>
      <c r="M73" s="325">
        <v>465000</v>
      </c>
      <c r="N73" s="326">
        <v>465000</v>
      </c>
      <c r="O73" s="333">
        <f>+M73-N73</f>
        <v>0</v>
      </c>
      <c r="P73" s="327"/>
      <c r="Q73" s="349"/>
    </row>
    <row r="74" spans="1:18" s="113" customFormat="1" ht="24.95" customHeight="1">
      <c r="A74" s="106"/>
      <c r="B74" s="107"/>
      <c r="C74" s="107"/>
      <c r="D74" s="202"/>
      <c r="E74" s="472" t="s">
        <v>1297</v>
      </c>
      <c r="F74" s="473"/>
      <c r="G74" s="473"/>
      <c r="H74" s="473"/>
      <c r="I74" s="473"/>
      <c r="J74" s="474"/>
      <c r="K74" s="474"/>
      <c r="L74" s="109"/>
      <c r="M74" s="325"/>
      <c r="N74" s="326"/>
      <c r="O74" s="333"/>
      <c r="P74" s="327"/>
      <c r="Q74" s="349"/>
    </row>
    <row r="75" spans="1:18" s="113" customFormat="1" ht="24.95" customHeight="1">
      <c r="A75" s="106"/>
      <c r="B75" s="107"/>
      <c r="C75" s="107"/>
      <c r="D75" s="202"/>
      <c r="E75" s="472"/>
      <c r="F75" s="473"/>
      <c r="G75" s="473"/>
      <c r="H75" s="473"/>
      <c r="I75" s="473"/>
      <c r="J75" s="474" t="s">
        <v>1111</v>
      </c>
      <c r="K75" s="474"/>
      <c r="L75" s="109">
        <f>ROUNDDOWN(8100000*0.012,0)</f>
        <v>97200</v>
      </c>
      <c r="M75" s="325">
        <v>97200</v>
      </c>
      <c r="N75" s="326">
        <v>97200</v>
      </c>
      <c r="O75" s="333">
        <f>+M75-N75</f>
        <v>0</v>
      </c>
      <c r="P75" s="327"/>
      <c r="Q75" s="349"/>
    </row>
    <row r="76" spans="1:18" s="113" customFormat="1" ht="24.95" customHeight="1">
      <c r="A76" s="106"/>
      <c r="B76" s="106"/>
      <c r="C76" s="106"/>
      <c r="D76" s="172"/>
      <c r="E76" s="473" t="s">
        <v>1298</v>
      </c>
      <c r="F76" s="473"/>
      <c r="G76" s="473"/>
      <c r="H76" s="473"/>
      <c r="I76" s="473"/>
      <c r="J76" s="474"/>
      <c r="K76" s="474"/>
      <c r="L76" s="109"/>
      <c r="M76" s="325"/>
      <c r="N76" s="326"/>
      <c r="O76" s="333"/>
      <c r="P76" s="327"/>
      <c r="Q76" s="349"/>
    </row>
    <row r="77" spans="1:18" s="113" customFormat="1" ht="24.95" customHeight="1">
      <c r="A77" s="106"/>
      <c r="B77" s="106"/>
      <c r="C77" s="106"/>
      <c r="D77" s="172"/>
      <c r="E77" s="473"/>
      <c r="F77" s="473"/>
      <c r="G77" s="473"/>
      <c r="H77" s="473"/>
      <c r="I77" s="473"/>
      <c r="J77" s="474" t="s">
        <v>1112</v>
      </c>
      <c r="K77" s="474"/>
      <c r="L77" s="109">
        <f>ROUNDDOWN(1020000*0.012,0)</f>
        <v>12240</v>
      </c>
      <c r="M77" s="325">
        <v>12240</v>
      </c>
      <c r="N77" s="326">
        <v>12240</v>
      </c>
      <c r="O77" s="333">
        <f>+M77-N77</f>
        <v>0</v>
      </c>
      <c r="P77" s="327"/>
      <c r="Q77" s="349"/>
    </row>
    <row r="78" spans="1:18" s="113" customFormat="1" ht="24.95" customHeight="1">
      <c r="A78" s="106"/>
      <c r="B78" s="107"/>
      <c r="C78" s="106"/>
      <c r="D78" s="172"/>
      <c r="E78" s="205"/>
      <c r="F78" s="205"/>
      <c r="G78" s="205"/>
      <c r="H78" s="205"/>
      <c r="I78" s="205"/>
      <c r="J78" s="203"/>
      <c r="K78" s="203"/>
      <c r="L78" s="109"/>
      <c r="M78" s="325"/>
      <c r="N78" s="326"/>
      <c r="O78" s="333"/>
      <c r="P78" s="327"/>
      <c r="Q78" s="349"/>
    </row>
    <row r="79" spans="1:18" ht="24.95" customHeight="1">
      <c r="A79" s="106"/>
      <c r="B79" s="107"/>
      <c r="C79" s="106"/>
      <c r="D79" s="172"/>
      <c r="E79" s="492" t="s">
        <v>1113</v>
      </c>
      <c r="F79" s="492"/>
      <c r="G79" s="492"/>
      <c r="H79" s="492"/>
      <c r="I79" s="492"/>
      <c r="J79" s="492"/>
      <c r="K79" s="108"/>
      <c r="L79" s="249">
        <f>L81</f>
        <v>67583</v>
      </c>
      <c r="M79" s="329"/>
      <c r="N79" s="329"/>
      <c r="O79" s="348"/>
      <c r="P79" s="327"/>
      <c r="Q79" s="349"/>
    </row>
    <row r="80" spans="1:18" s="93" customFormat="1" ht="24.95" customHeight="1">
      <c r="A80" s="106"/>
      <c r="B80" s="107"/>
      <c r="C80" s="106"/>
      <c r="D80" s="172"/>
      <c r="E80" s="473" t="s">
        <v>1114</v>
      </c>
      <c r="F80" s="473"/>
      <c r="G80" s="473"/>
      <c r="H80" s="473"/>
      <c r="I80" s="473"/>
      <c r="J80" s="474"/>
      <c r="K80" s="474"/>
      <c r="L80" s="109"/>
      <c r="M80" s="325"/>
      <c r="N80" s="326"/>
      <c r="O80" s="333"/>
      <c r="P80" s="327"/>
      <c r="Q80" s="353"/>
      <c r="R80" s="84"/>
    </row>
    <row r="81" spans="1:17" s="111" customFormat="1" ht="24.95" customHeight="1">
      <c r="A81" s="106"/>
      <c r="B81" s="107"/>
      <c r="C81" s="106"/>
      <c r="D81" s="172"/>
      <c r="E81" s="473"/>
      <c r="F81" s="473"/>
      <c r="G81" s="473"/>
      <c r="H81" s="473"/>
      <c r="I81" s="473"/>
      <c r="J81" s="474" t="s">
        <v>1299</v>
      </c>
      <c r="K81" s="474"/>
      <c r="L81" s="109">
        <f>ROUNDDOWN(67583000*0.001,0)</f>
        <v>67583</v>
      </c>
      <c r="M81" s="325">
        <v>67583</v>
      </c>
      <c r="N81" s="326">
        <v>62838</v>
      </c>
      <c r="O81" s="333">
        <f>+M81-N81</f>
        <v>4745</v>
      </c>
      <c r="P81" s="327"/>
      <c r="Q81" s="349" t="s">
        <v>1300</v>
      </c>
    </row>
    <row r="82" spans="1:17" s="113" customFormat="1" ht="24.95" customHeight="1">
      <c r="A82" s="106"/>
      <c r="B82" s="173"/>
      <c r="C82" s="173"/>
      <c r="D82" s="174"/>
      <c r="E82" s="205"/>
      <c r="F82" s="205"/>
      <c r="G82" s="205"/>
      <c r="H82" s="205"/>
      <c r="I82" s="205"/>
      <c r="J82" s="203"/>
      <c r="K82" s="203"/>
      <c r="L82" s="109"/>
      <c r="M82" s="109"/>
      <c r="N82" s="112"/>
      <c r="O82" s="171"/>
      <c r="P82" s="179"/>
      <c r="Q82" s="238"/>
    </row>
    <row r="83" spans="1:17" s="113" customFormat="1" ht="24.95" customHeight="1">
      <c r="A83" s="101"/>
      <c r="B83" s="536" t="s">
        <v>858</v>
      </c>
      <c r="C83" s="537"/>
      <c r="D83" s="537"/>
      <c r="E83" s="537"/>
      <c r="F83" s="544" t="s">
        <v>859</v>
      </c>
      <c r="G83" s="544"/>
      <c r="H83" s="544"/>
      <c r="I83" s="544"/>
      <c r="J83" s="544"/>
      <c r="K83" s="544"/>
      <c r="L83" s="545"/>
      <c r="M83" s="193">
        <f>SUM(M84)</f>
        <v>240</v>
      </c>
      <c r="N83" s="102">
        <f>SUM(N84)</f>
        <v>1000</v>
      </c>
      <c r="O83" s="102">
        <f>+O84</f>
        <v>-760</v>
      </c>
      <c r="P83" s="179"/>
      <c r="Q83" s="239"/>
    </row>
    <row r="84" spans="1:17" s="113" customFormat="1" ht="24.95" customHeight="1">
      <c r="A84" s="101"/>
      <c r="B84" s="107"/>
      <c r="C84" s="536" t="s">
        <v>861</v>
      </c>
      <c r="D84" s="537"/>
      <c r="E84" s="537"/>
      <c r="F84" s="537"/>
      <c r="G84" s="537" t="s">
        <v>862</v>
      </c>
      <c r="H84" s="537"/>
      <c r="I84" s="537"/>
      <c r="J84" s="537"/>
      <c r="K84" s="537"/>
      <c r="L84" s="538"/>
      <c r="M84" s="193">
        <f>+M85</f>
        <v>240</v>
      </c>
      <c r="N84" s="102">
        <f>+N85</f>
        <v>1000</v>
      </c>
      <c r="O84" s="102">
        <f>+O85</f>
        <v>-760</v>
      </c>
      <c r="P84" s="179"/>
      <c r="Q84" s="240"/>
    </row>
    <row r="85" spans="1:17" s="113" customFormat="1" ht="24.95" customHeight="1">
      <c r="A85" s="88"/>
      <c r="B85" s="89"/>
      <c r="C85" s="104"/>
      <c r="D85" s="105"/>
      <c r="E85" s="551" t="s">
        <v>1207</v>
      </c>
      <c r="F85" s="551"/>
      <c r="G85" s="551"/>
      <c r="H85" s="551"/>
      <c r="I85" s="391" t="s">
        <v>865</v>
      </c>
      <c r="J85" s="391"/>
      <c r="K85" s="391"/>
      <c r="L85" s="479"/>
      <c r="M85" s="323">
        <v>240</v>
      </c>
      <c r="N85" s="323">
        <v>1000</v>
      </c>
      <c r="O85" s="323">
        <f>+M85-N85</f>
        <v>-760</v>
      </c>
      <c r="P85" s="179"/>
      <c r="Q85" s="237"/>
    </row>
    <row r="86" spans="1:17" s="111" customFormat="1" ht="24.95" customHeight="1">
      <c r="A86" s="106"/>
      <c r="B86" s="107"/>
      <c r="C86" s="107"/>
      <c r="D86" s="202"/>
      <c r="E86" s="491" t="s">
        <v>1115</v>
      </c>
      <c r="F86" s="492"/>
      <c r="G86" s="492"/>
      <c r="H86" s="492"/>
      <c r="I86" s="492"/>
      <c r="J86" s="492"/>
      <c r="K86" s="108"/>
      <c r="L86" s="249">
        <f>L88</f>
        <v>240</v>
      </c>
      <c r="M86" s="329"/>
      <c r="N86" s="329"/>
      <c r="O86" s="348"/>
      <c r="P86" s="327"/>
      <c r="Q86" s="349"/>
    </row>
    <row r="87" spans="1:17" s="113" customFormat="1" ht="24.95" customHeight="1">
      <c r="A87" s="106"/>
      <c r="B87" s="107"/>
      <c r="C87" s="107"/>
      <c r="D87" s="202"/>
      <c r="E87" s="472" t="s">
        <v>1116</v>
      </c>
      <c r="F87" s="473"/>
      <c r="G87" s="473"/>
      <c r="H87" s="473"/>
      <c r="I87" s="473"/>
      <c r="J87" s="474"/>
      <c r="K87" s="474"/>
      <c r="L87" s="109"/>
      <c r="M87" s="325"/>
      <c r="N87" s="326"/>
      <c r="O87" s="333"/>
      <c r="P87" s="327"/>
      <c r="Q87" s="349"/>
    </row>
    <row r="88" spans="1:17" s="113" customFormat="1" ht="24.95" customHeight="1">
      <c r="A88" s="106"/>
      <c r="B88" s="107"/>
      <c r="C88" s="107"/>
      <c r="D88" s="202"/>
      <c r="E88" s="472"/>
      <c r="F88" s="473"/>
      <c r="G88" s="473"/>
      <c r="H88" s="473"/>
      <c r="I88" s="473"/>
      <c r="J88" s="474" t="s">
        <v>1301</v>
      </c>
      <c r="K88" s="474"/>
      <c r="L88" s="109">
        <v>240</v>
      </c>
      <c r="M88" s="325">
        <v>240</v>
      </c>
      <c r="N88" s="326">
        <v>1000</v>
      </c>
      <c r="O88" s="333">
        <f>+M88-N88</f>
        <v>-760</v>
      </c>
      <c r="P88" s="327"/>
      <c r="Q88" s="349" t="s">
        <v>1302</v>
      </c>
    </row>
    <row r="89" spans="1:17" s="113" customFormat="1" ht="9.9499999999999993" customHeight="1">
      <c r="A89" s="125"/>
      <c r="B89" s="126"/>
      <c r="C89" s="126"/>
      <c r="D89" s="127"/>
      <c r="E89" s="128"/>
      <c r="F89" s="129"/>
      <c r="G89" s="129"/>
      <c r="H89" s="129"/>
      <c r="I89" s="129"/>
      <c r="J89" s="130"/>
      <c r="K89" s="130"/>
      <c r="L89" s="131"/>
      <c r="M89" s="350"/>
      <c r="N89" s="336"/>
      <c r="O89" s="351"/>
      <c r="P89" s="327"/>
      <c r="Q89" s="352"/>
    </row>
    <row r="90" spans="1:17" ht="5.0999999999999996" customHeight="1">
      <c r="B90" s="111"/>
      <c r="C90" s="111"/>
      <c r="D90" s="111"/>
      <c r="E90" s="111"/>
      <c r="F90" s="111"/>
      <c r="G90" s="111"/>
      <c r="H90" s="111"/>
      <c r="I90" s="111"/>
      <c r="J90" s="111"/>
      <c r="K90" s="111"/>
      <c r="L90" s="111"/>
      <c r="M90" s="82"/>
      <c r="N90" s="119"/>
      <c r="O90" s="119"/>
      <c r="P90" s="179"/>
      <c r="Q90" s="213"/>
    </row>
    <row r="91" spans="1:17" ht="20.100000000000001" customHeight="1">
      <c r="B91" s="111"/>
      <c r="C91" s="111"/>
      <c r="D91" s="111"/>
      <c r="E91" s="111"/>
      <c r="F91" s="111"/>
      <c r="G91" s="111"/>
      <c r="H91" s="111"/>
      <c r="I91" s="111"/>
      <c r="J91" s="111"/>
      <c r="K91" s="111"/>
      <c r="L91" s="111"/>
      <c r="M91" s="82"/>
      <c r="N91" s="119"/>
      <c r="O91" s="119"/>
      <c r="P91" s="179"/>
      <c r="Q91" s="213"/>
    </row>
    <row r="92" spans="1:17" ht="20.100000000000001" customHeight="1">
      <c r="B92" s="111"/>
      <c r="C92" s="111"/>
      <c r="D92" s="111"/>
      <c r="E92" s="111"/>
      <c r="F92" s="111"/>
      <c r="G92" s="111"/>
      <c r="H92" s="111"/>
      <c r="I92" s="111"/>
      <c r="J92" s="111"/>
      <c r="K92" s="111"/>
      <c r="L92" s="111"/>
      <c r="M92" s="82"/>
      <c r="N92" s="119"/>
      <c r="O92" s="119"/>
      <c r="P92" s="179"/>
      <c r="Q92" s="213"/>
    </row>
    <row r="93" spans="1:17" ht="20.100000000000001" customHeight="1">
      <c r="B93" s="111"/>
      <c r="C93" s="111"/>
      <c r="D93" s="111"/>
      <c r="E93" s="111"/>
      <c r="F93" s="111"/>
      <c r="G93" s="111"/>
      <c r="H93" s="111"/>
      <c r="I93" s="111"/>
      <c r="J93" s="111"/>
      <c r="K93" s="111"/>
      <c r="L93" s="111"/>
      <c r="M93" s="82"/>
      <c r="N93" s="119"/>
      <c r="O93" s="119"/>
      <c r="P93" s="179"/>
      <c r="Q93" s="213"/>
    </row>
    <row r="94" spans="1:17" ht="20.100000000000001" customHeight="1">
      <c r="B94" s="111"/>
      <c r="C94" s="111"/>
      <c r="D94" s="111"/>
      <c r="E94" s="111"/>
      <c r="F94" s="111"/>
      <c r="G94" s="111"/>
      <c r="H94" s="111"/>
      <c r="I94" s="111"/>
      <c r="J94" s="111"/>
      <c r="K94" s="111"/>
      <c r="L94" s="111"/>
      <c r="M94" s="82"/>
      <c r="N94" s="119"/>
      <c r="O94" s="119"/>
      <c r="P94" s="179"/>
      <c r="Q94" s="213"/>
    </row>
    <row r="95" spans="1:17" ht="20.100000000000001" customHeight="1">
      <c r="B95" s="111"/>
      <c r="C95" s="111"/>
      <c r="D95" s="111"/>
      <c r="E95" s="111"/>
      <c r="F95" s="111"/>
      <c r="G95" s="111"/>
      <c r="H95" s="111"/>
      <c r="I95" s="111"/>
      <c r="J95" s="111"/>
      <c r="K95" s="111"/>
      <c r="L95" s="111"/>
      <c r="M95" s="82"/>
      <c r="N95" s="119"/>
      <c r="O95" s="119"/>
      <c r="P95" s="179"/>
      <c r="Q95" s="213"/>
    </row>
    <row r="96" spans="1:17" ht="20.100000000000001" customHeight="1">
      <c r="B96" s="111"/>
      <c r="C96" s="111"/>
      <c r="D96" s="111"/>
      <c r="E96" s="111"/>
      <c r="F96" s="111"/>
      <c r="G96" s="111"/>
      <c r="H96" s="111"/>
      <c r="I96" s="111"/>
      <c r="J96" s="111"/>
      <c r="K96" s="111"/>
      <c r="L96" s="111"/>
      <c r="M96" s="82"/>
      <c r="N96" s="119"/>
      <c r="O96" s="119"/>
      <c r="P96" s="179"/>
      <c r="Q96" s="213"/>
    </row>
    <row r="97" spans="13:17" ht="20.100000000000001" customHeight="1">
      <c r="M97" s="119"/>
      <c r="N97" s="119"/>
      <c r="O97" s="119"/>
      <c r="P97" s="179"/>
      <c r="Q97" s="213"/>
    </row>
    <row r="98" spans="13:17" ht="20.100000000000001" customHeight="1">
      <c r="M98" s="119"/>
      <c r="N98" s="119"/>
      <c r="O98" s="119"/>
      <c r="P98" s="179"/>
      <c r="Q98" s="213"/>
    </row>
    <row r="99" spans="13:17" ht="20.100000000000001" customHeight="1">
      <c r="M99" s="119"/>
      <c r="N99" s="119"/>
      <c r="O99" s="119"/>
      <c r="P99" s="179"/>
      <c r="Q99" s="213"/>
    </row>
    <row r="100" spans="13:17" ht="20.100000000000001" customHeight="1">
      <c r="M100" s="119"/>
      <c r="N100" s="119"/>
      <c r="O100" s="119"/>
      <c r="P100" s="179"/>
      <c r="Q100" s="213"/>
    </row>
    <row r="101" spans="13:17" ht="20.100000000000001" customHeight="1">
      <c r="M101" s="119"/>
      <c r="N101" s="119"/>
      <c r="O101" s="119"/>
      <c r="P101" s="179"/>
      <c r="Q101" s="213"/>
    </row>
    <row r="102" spans="13:17" ht="20.100000000000001" customHeight="1">
      <c r="M102" s="119"/>
      <c r="N102" s="119"/>
      <c r="O102" s="119"/>
      <c r="P102" s="179"/>
      <c r="Q102" s="213"/>
    </row>
    <row r="103" spans="13:17" ht="20.100000000000001" customHeight="1">
      <c r="M103" s="119"/>
      <c r="N103" s="119"/>
      <c r="O103" s="119"/>
      <c r="P103" s="179"/>
      <c r="Q103" s="213"/>
    </row>
    <row r="104" spans="13:17" ht="20.100000000000001" customHeight="1">
      <c r="M104" s="119"/>
      <c r="N104" s="119"/>
      <c r="O104" s="119"/>
      <c r="P104" s="179"/>
      <c r="Q104" s="213"/>
    </row>
    <row r="105" spans="13:17" ht="20.100000000000001" customHeight="1">
      <c r="M105" s="119"/>
      <c r="N105" s="119"/>
      <c r="O105" s="119"/>
      <c r="P105" s="179"/>
      <c r="Q105" s="213"/>
    </row>
    <row r="106" spans="13:17" ht="20.100000000000001" customHeight="1">
      <c r="M106" s="119"/>
      <c r="N106" s="119"/>
      <c r="O106" s="119"/>
      <c r="P106" s="179"/>
      <c r="Q106" s="213"/>
    </row>
    <row r="107" spans="13:17" ht="20.100000000000001" customHeight="1">
      <c r="M107" s="119"/>
      <c r="N107" s="119"/>
      <c r="O107" s="119"/>
      <c r="P107" s="179"/>
      <c r="Q107" s="213"/>
    </row>
    <row r="108" spans="13:17" ht="20.100000000000001" customHeight="1">
      <c r="M108" s="119"/>
      <c r="N108" s="119"/>
      <c r="O108" s="119"/>
      <c r="P108" s="179"/>
      <c r="Q108" s="213"/>
    </row>
    <row r="109" spans="13:17" ht="20.100000000000001" customHeight="1">
      <c r="M109" s="119"/>
      <c r="N109" s="119"/>
      <c r="O109" s="119"/>
      <c r="P109" s="179"/>
      <c r="Q109" s="213"/>
    </row>
    <row r="110" spans="13:17" ht="20.100000000000001" customHeight="1">
      <c r="M110" s="119"/>
      <c r="N110" s="119"/>
      <c r="O110" s="119"/>
      <c r="P110" s="179"/>
      <c r="Q110" s="213"/>
    </row>
    <row r="111" spans="13:17" ht="20.100000000000001" customHeight="1">
      <c r="M111" s="119"/>
      <c r="N111" s="119"/>
      <c r="O111" s="119"/>
      <c r="P111" s="179"/>
      <c r="Q111" s="213"/>
    </row>
    <row r="112" spans="13:17" ht="20.100000000000001" customHeight="1">
      <c r="M112" s="119"/>
      <c r="N112" s="119"/>
      <c r="O112" s="119"/>
      <c r="P112" s="179"/>
      <c r="Q112" s="213"/>
    </row>
    <row r="113" spans="13:17" ht="20.100000000000001" customHeight="1">
      <c r="M113" s="119"/>
      <c r="N113" s="119"/>
      <c r="O113" s="119"/>
      <c r="P113" s="179"/>
      <c r="Q113" s="213"/>
    </row>
    <row r="114" spans="13:17" ht="20.100000000000001" customHeight="1">
      <c r="M114" s="119"/>
      <c r="N114" s="119"/>
      <c r="O114" s="119"/>
      <c r="P114" s="179"/>
      <c r="Q114" s="213"/>
    </row>
    <row r="115" spans="13:17" ht="20.100000000000001" customHeight="1">
      <c r="M115" s="119"/>
      <c r="N115" s="119"/>
      <c r="O115" s="119"/>
      <c r="P115" s="179"/>
      <c r="Q115" s="213"/>
    </row>
    <row r="116" spans="13:17" ht="20.100000000000001" customHeight="1">
      <c r="M116" s="119"/>
      <c r="N116" s="119"/>
      <c r="O116" s="119"/>
      <c r="P116" s="179"/>
      <c r="Q116" s="213"/>
    </row>
    <row r="117" spans="13:17" ht="20.100000000000001" customHeight="1">
      <c r="M117" s="119"/>
      <c r="N117" s="119"/>
      <c r="O117" s="119"/>
      <c r="P117" s="179"/>
      <c r="Q117" s="213"/>
    </row>
    <row r="118" spans="13:17" ht="20.100000000000001" customHeight="1">
      <c r="M118" s="119"/>
      <c r="N118" s="119"/>
      <c r="O118" s="119"/>
      <c r="P118" s="179"/>
      <c r="Q118" s="213"/>
    </row>
    <row r="119" spans="13:17" ht="20.100000000000001" customHeight="1">
      <c r="M119" s="119"/>
      <c r="N119" s="119"/>
      <c r="O119" s="119"/>
      <c r="P119" s="179"/>
      <c r="Q119" s="213"/>
    </row>
    <row r="120" spans="13:17" ht="20.100000000000001" customHeight="1">
      <c r="M120" s="119"/>
      <c r="N120" s="119"/>
      <c r="O120" s="119"/>
      <c r="P120" s="179"/>
      <c r="Q120" s="213"/>
    </row>
    <row r="121" spans="13:17" ht="20.100000000000001" customHeight="1">
      <c r="M121" s="119"/>
      <c r="N121" s="119"/>
      <c r="O121" s="119"/>
      <c r="P121" s="179"/>
      <c r="Q121" s="213"/>
    </row>
    <row r="122" spans="13:17" ht="20.100000000000001" customHeight="1">
      <c r="M122" s="119"/>
      <c r="N122" s="119"/>
      <c r="O122" s="119"/>
      <c r="P122" s="179"/>
      <c r="Q122" s="213"/>
    </row>
    <row r="123" spans="13:17" ht="20.100000000000001" customHeight="1">
      <c r="M123" s="119"/>
      <c r="N123" s="119"/>
      <c r="O123" s="119"/>
      <c r="P123" s="179"/>
      <c r="Q123" s="213"/>
    </row>
    <row r="124" spans="13:17" ht="20.100000000000001" customHeight="1">
      <c r="M124" s="119"/>
      <c r="N124" s="119"/>
      <c r="O124" s="119"/>
      <c r="P124" s="179"/>
      <c r="Q124" s="213"/>
    </row>
    <row r="125" spans="13:17" ht="20.100000000000001" customHeight="1">
      <c r="M125" s="119"/>
      <c r="N125" s="119"/>
      <c r="O125" s="119"/>
      <c r="P125" s="179"/>
      <c r="Q125" s="213"/>
    </row>
    <row r="126" spans="13:17" ht="20.100000000000001" customHeight="1">
      <c r="M126" s="119"/>
      <c r="N126" s="119"/>
      <c r="O126" s="119"/>
      <c r="P126" s="179"/>
      <c r="Q126" s="213"/>
    </row>
    <row r="127" spans="13:17" ht="20.100000000000001" customHeight="1">
      <c r="M127" s="119"/>
      <c r="N127" s="119"/>
      <c r="O127" s="119"/>
      <c r="P127" s="179"/>
      <c r="Q127" s="213"/>
    </row>
    <row r="128" spans="13:17" ht="20.100000000000001" customHeight="1">
      <c r="M128" s="119"/>
      <c r="N128" s="119"/>
      <c r="O128" s="119"/>
      <c r="P128" s="179"/>
      <c r="Q128" s="213"/>
    </row>
    <row r="129" spans="13:17" ht="20.100000000000001" customHeight="1">
      <c r="M129" s="119"/>
      <c r="N129" s="119"/>
      <c r="O129" s="119"/>
      <c r="P129" s="179"/>
      <c r="Q129" s="213"/>
    </row>
    <row r="130" spans="13:17" ht="20.100000000000001" customHeight="1">
      <c r="M130" s="119"/>
      <c r="N130" s="119"/>
      <c r="O130" s="119"/>
      <c r="P130" s="179"/>
      <c r="Q130" s="213"/>
    </row>
    <row r="131" spans="13:17" ht="20.100000000000001" customHeight="1">
      <c r="M131" s="119"/>
      <c r="N131" s="119"/>
      <c r="O131" s="119"/>
      <c r="P131" s="179"/>
      <c r="Q131" s="213"/>
    </row>
    <row r="132" spans="13:17" ht="20.100000000000001" customHeight="1">
      <c r="M132" s="119"/>
      <c r="N132" s="119"/>
      <c r="O132" s="119"/>
      <c r="P132" s="179"/>
      <c r="Q132" s="213"/>
    </row>
    <row r="133" spans="13:17" ht="20.100000000000001" customHeight="1">
      <c r="M133" s="119"/>
      <c r="N133" s="119"/>
      <c r="O133" s="119"/>
      <c r="P133" s="179"/>
      <c r="Q133" s="213"/>
    </row>
    <row r="134" spans="13:17" ht="20.100000000000001" customHeight="1">
      <c r="M134" s="119"/>
      <c r="N134" s="119"/>
      <c r="O134" s="119"/>
      <c r="P134" s="179"/>
      <c r="Q134" s="213"/>
    </row>
    <row r="135" spans="13:17" ht="20.100000000000001" customHeight="1">
      <c r="M135" s="119"/>
      <c r="N135" s="119"/>
      <c r="O135" s="119"/>
      <c r="P135" s="179"/>
      <c r="Q135" s="213"/>
    </row>
    <row r="136" spans="13:17" ht="20.100000000000001" customHeight="1">
      <c r="M136" s="119"/>
      <c r="N136" s="119"/>
      <c r="O136" s="119"/>
      <c r="P136" s="179"/>
      <c r="Q136" s="213"/>
    </row>
    <row r="137" spans="13:17" ht="20.100000000000001" customHeight="1">
      <c r="M137" s="119"/>
      <c r="N137" s="119"/>
      <c r="O137" s="119"/>
      <c r="P137" s="179"/>
      <c r="Q137" s="213"/>
    </row>
    <row r="138" spans="13:17" ht="20.100000000000001" customHeight="1">
      <c r="M138" s="119"/>
      <c r="N138" s="119"/>
      <c r="O138" s="119"/>
      <c r="P138" s="179"/>
      <c r="Q138" s="213"/>
    </row>
    <row r="139" spans="13:17" ht="20.100000000000001" customHeight="1">
      <c r="M139" s="119"/>
      <c r="N139" s="119"/>
      <c r="O139" s="119"/>
      <c r="P139" s="179"/>
      <c r="Q139" s="213"/>
    </row>
    <row r="140" spans="13:17" ht="20.100000000000001" customHeight="1">
      <c r="M140" s="119"/>
      <c r="N140" s="119"/>
      <c r="O140" s="119"/>
      <c r="P140" s="179"/>
      <c r="Q140" s="213"/>
    </row>
    <row r="141" spans="13:17" ht="20.100000000000001" customHeight="1">
      <c r="M141" s="119"/>
      <c r="N141" s="119"/>
      <c r="O141" s="119"/>
      <c r="P141" s="179"/>
      <c r="Q141" s="213"/>
    </row>
    <row r="142" spans="13:17" ht="20.100000000000001" customHeight="1">
      <c r="M142" s="119"/>
      <c r="N142" s="119"/>
      <c r="O142" s="119"/>
      <c r="P142" s="179"/>
      <c r="Q142" s="213"/>
    </row>
    <row r="143" spans="13:17" ht="20.100000000000001" customHeight="1">
      <c r="M143" s="119"/>
      <c r="N143" s="119"/>
      <c r="O143" s="119"/>
      <c r="P143" s="179"/>
      <c r="Q143" s="213"/>
    </row>
    <row r="144" spans="13:17" ht="20.100000000000001" customHeight="1">
      <c r="M144" s="119"/>
      <c r="N144" s="119"/>
      <c r="O144" s="119"/>
      <c r="P144" s="179"/>
      <c r="Q144" s="213"/>
    </row>
    <row r="145" spans="13:17" ht="20.100000000000001" customHeight="1">
      <c r="M145" s="119"/>
      <c r="N145" s="119"/>
      <c r="O145" s="119"/>
      <c r="P145" s="179"/>
      <c r="Q145" s="213"/>
    </row>
    <row r="146" spans="13:17" ht="20.100000000000001" customHeight="1">
      <c r="M146" s="119"/>
      <c r="N146" s="119"/>
      <c r="O146" s="119"/>
      <c r="P146" s="179"/>
      <c r="Q146" s="213"/>
    </row>
    <row r="147" spans="13:17" ht="20.100000000000001" customHeight="1">
      <c r="M147" s="119"/>
      <c r="N147" s="119"/>
      <c r="O147" s="119"/>
      <c r="P147" s="179"/>
      <c r="Q147" s="213"/>
    </row>
    <row r="148" spans="13:17" ht="20.100000000000001" customHeight="1">
      <c r="M148" s="119"/>
      <c r="N148" s="119"/>
      <c r="O148" s="119"/>
      <c r="P148" s="179"/>
      <c r="Q148" s="213"/>
    </row>
    <row r="149" spans="13:17" ht="20.100000000000001" customHeight="1">
      <c r="M149" s="119"/>
      <c r="N149" s="119"/>
      <c r="O149" s="119"/>
      <c r="P149" s="179"/>
      <c r="Q149" s="213"/>
    </row>
    <row r="150" spans="13:17" ht="20.100000000000001" customHeight="1">
      <c r="M150" s="119"/>
      <c r="N150" s="119"/>
      <c r="O150" s="119"/>
      <c r="P150" s="179"/>
      <c r="Q150" s="213"/>
    </row>
    <row r="151" spans="13:17" ht="20.100000000000001" customHeight="1">
      <c r="M151" s="119"/>
      <c r="N151" s="119"/>
      <c r="O151" s="119"/>
      <c r="P151" s="179"/>
      <c r="Q151" s="213"/>
    </row>
    <row r="152" spans="13:17" ht="20.100000000000001" customHeight="1">
      <c r="M152" s="119"/>
      <c r="N152" s="119"/>
      <c r="O152" s="119"/>
      <c r="P152" s="179"/>
      <c r="Q152" s="213"/>
    </row>
    <row r="153" spans="13:17" ht="20.100000000000001" customHeight="1">
      <c r="M153" s="119"/>
      <c r="N153" s="119"/>
      <c r="O153" s="119"/>
      <c r="P153" s="179"/>
      <c r="Q153" s="213"/>
    </row>
    <row r="154" spans="13:17" ht="20.100000000000001" customHeight="1">
      <c r="M154" s="119"/>
      <c r="N154" s="119"/>
      <c r="O154" s="119"/>
      <c r="P154" s="179"/>
      <c r="Q154" s="213"/>
    </row>
    <row r="155" spans="13:17" ht="20.100000000000001" customHeight="1">
      <c r="M155" s="119"/>
      <c r="N155" s="119"/>
      <c r="O155" s="119"/>
      <c r="P155" s="179"/>
      <c r="Q155" s="213"/>
    </row>
    <row r="156" spans="13:17" ht="20.100000000000001" customHeight="1">
      <c r="M156" s="119"/>
      <c r="N156" s="119"/>
      <c r="O156" s="119"/>
      <c r="P156" s="179"/>
      <c r="Q156" s="213"/>
    </row>
    <row r="157" spans="13:17" ht="20.100000000000001" customHeight="1">
      <c r="M157" s="119"/>
      <c r="N157" s="119"/>
      <c r="O157" s="119"/>
      <c r="P157" s="179"/>
      <c r="Q157" s="213"/>
    </row>
    <row r="158" spans="13:17" ht="20.100000000000001" customHeight="1">
      <c r="M158" s="119"/>
      <c r="N158" s="119"/>
      <c r="O158" s="119"/>
      <c r="P158" s="179"/>
      <c r="Q158" s="213"/>
    </row>
    <row r="159" spans="13:17" ht="20.100000000000001" customHeight="1">
      <c r="M159" s="119"/>
      <c r="N159" s="119"/>
      <c r="O159" s="119"/>
      <c r="P159" s="179"/>
      <c r="Q159" s="213"/>
    </row>
    <row r="160" spans="13:17" ht="20.100000000000001" customHeight="1">
      <c r="M160" s="119"/>
      <c r="N160" s="119"/>
      <c r="O160" s="119"/>
      <c r="P160" s="179"/>
      <c r="Q160" s="213"/>
    </row>
    <row r="161" spans="13:17" ht="20.100000000000001" customHeight="1">
      <c r="M161" s="119"/>
      <c r="N161" s="119"/>
      <c r="O161" s="119"/>
      <c r="P161" s="179"/>
      <c r="Q161" s="213"/>
    </row>
    <row r="162" spans="13:17" ht="20.100000000000001" customHeight="1">
      <c r="M162" s="119"/>
      <c r="N162" s="119"/>
      <c r="O162" s="119"/>
      <c r="P162" s="179"/>
      <c r="Q162" s="213"/>
    </row>
    <row r="163" spans="13:17" ht="20.100000000000001" customHeight="1">
      <c r="M163" s="119"/>
      <c r="N163" s="119"/>
      <c r="O163" s="119"/>
      <c r="P163" s="179"/>
      <c r="Q163" s="213"/>
    </row>
    <row r="164" spans="13:17" ht="20.100000000000001" customHeight="1">
      <c r="M164" s="119"/>
      <c r="N164" s="119"/>
      <c r="O164" s="119"/>
      <c r="P164" s="179"/>
      <c r="Q164" s="213"/>
    </row>
    <row r="165" spans="13:17" ht="20.100000000000001" customHeight="1">
      <c r="M165" s="119"/>
      <c r="N165" s="119"/>
      <c r="O165" s="119"/>
      <c r="P165" s="179"/>
      <c r="Q165" s="213"/>
    </row>
    <row r="166" spans="13:17" ht="20.100000000000001" customHeight="1">
      <c r="M166" s="119"/>
      <c r="N166" s="119"/>
      <c r="O166" s="119"/>
      <c r="P166" s="179"/>
      <c r="Q166" s="213"/>
    </row>
    <row r="167" spans="13:17" ht="20.100000000000001" customHeight="1">
      <c r="M167" s="119"/>
      <c r="N167" s="119"/>
      <c r="O167" s="119"/>
      <c r="P167" s="179"/>
      <c r="Q167" s="213"/>
    </row>
    <row r="168" spans="13:17" ht="20.100000000000001" customHeight="1">
      <c r="M168" s="119"/>
      <c r="N168" s="119"/>
      <c r="O168" s="119"/>
      <c r="P168" s="179"/>
      <c r="Q168" s="213"/>
    </row>
    <row r="169" spans="13:17" ht="20.100000000000001" customHeight="1">
      <c r="M169" s="119"/>
      <c r="N169" s="119"/>
      <c r="O169" s="119"/>
      <c r="P169" s="179"/>
      <c r="Q169" s="213"/>
    </row>
    <row r="170" spans="13:17" ht="20.100000000000001" customHeight="1">
      <c r="M170" s="119"/>
      <c r="N170" s="119"/>
      <c r="O170" s="119"/>
      <c r="P170" s="179"/>
      <c r="Q170" s="213"/>
    </row>
    <row r="171" spans="13:17" ht="20.100000000000001" customHeight="1">
      <c r="M171" s="119"/>
      <c r="N171" s="119"/>
      <c r="O171" s="119"/>
      <c r="P171" s="179"/>
      <c r="Q171" s="213"/>
    </row>
    <row r="172" spans="13:17" ht="20.100000000000001" customHeight="1">
      <c r="M172" s="119"/>
      <c r="N172" s="119"/>
      <c r="O172" s="119"/>
      <c r="P172" s="179"/>
      <c r="Q172" s="213"/>
    </row>
    <row r="173" spans="13:17" ht="20.100000000000001" customHeight="1">
      <c r="M173" s="119"/>
      <c r="N173" s="119"/>
      <c r="O173" s="119"/>
      <c r="P173" s="179"/>
      <c r="Q173" s="213"/>
    </row>
    <row r="174" spans="13:17" ht="20.100000000000001" customHeight="1">
      <c r="M174" s="119"/>
      <c r="N174" s="119"/>
      <c r="O174" s="119"/>
      <c r="P174" s="179"/>
      <c r="Q174" s="213"/>
    </row>
    <row r="175" spans="13:17" ht="20.100000000000001" customHeight="1">
      <c r="M175" s="119"/>
      <c r="N175" s="119"/>
      <c r="O175" s="119"/>
      <c r="P175" s="179"/>
      <c r="Q175" s="213"/>
    </row>
    <row r="176" spans="13:17" ht="20.100000000000001" customHeight="1">
      <c r="M176" s="119"/>
      <c r="N176" s="119"/>
      <c r="O176" s="119"/>
      <c r="P176" s="179"/>
      <c r="Q176" s="213"/>
    </row>
    <row r="177" spans="13:17" ht="20.100000000000001" customHeight="1">
      <c r="M177" s="119"/>
      <c r="N177" s="119"/>
      <c r="O177" s="119"/>
      <c r="P177" s="179"/>
      <c r="Q177" s="213"/>
    </row>
    <row r="178" spans="13:17" ht="20.100000000000001" customHeight="1">
      <c r="M178" s="119"/>
      <c r="N178" s="119"/>
      <c r="O178" s="119"/>
      <c r="P178" s="179"/>
      <c r="Q178" s="213"/>
    </row>
    <row r="179" spans="13:17" ht="20.100000000000001" customHeight="1">
      <c r="M179" s="119"/>
      <c r="N179" s="119"/>
      <c r="O179" s="119"/>
      <c r="P179" s="179"/>
      <c r="Q179" s="213"/>
    </row>
    <row r="180" spans="13:17" ht="20.100000000000001" customHeight="1">
      <c r="M180" s="119"/>
      <c r="N180" s="119"/>
      <c r="O180" s="119"/>
      <c r="P180" s="179"/>
      <c r="Q180" s="213"/>
    </row>
    <row r="181" spans="13:17" ht="20.100000000000001" customHeight="1">
      <c r="M181" s="119"/>
      <c r="N181" s="119"/>
      <c r="O181" s="119"/>
      <c r="P181" s="179"/>
      <c r="Q181" s="213"/>
    </row>
    <row r="182" spans="13:17" ht="20.100000000000001" customHeight="1">
      <c r="M182" s="119"/>
      <c r="N182" s="119"/>
      <c r="O182" s="119"/>
      <c r="P182" s="179"/>
      <c r="Q182" s="213"/>
    </row>
    <row r="183" spans="13:17" ht="20.100000000000001" customHeight="1">
      <c r="M183" s="119"/>
      <c r="N183" s="119"/>
      <c r="O183" s="119"/>
      <c r="P183" s="179"/>
      <c r="Q183" s="213"/>
    </row>
    <row r="184" spans="13:17" ht="20.100000000000001" customHeight="1">
      <c r="M184" s="119"/>
      <c r="N184" s="119"/>
      <c r="O184" s="119"/>
      <c r="P184" s="179"/>
      <c r="Q184" s="213"/>
    </row>
    <row r="185" spans="13:17" ht="20.100000000000001" customHeight="1">
      <c r="M185" s="119"/>
      <c r="N185" s="119"/>
      <c r="O185" s="119"/>
      <c r="P185" s="179"/>
      <c r="Q185" s="213"/>
    </row>
    <row r="186" spans="13:17" ht="20.100000000000001" customHeight="1">
      <c r="M186" s="119"/>
      <c r="N186" s="119"/>
      <c r="O186" s="119"/>
      <c r="P186" s="179"/>
      <c r="Q186" s="213"/>
    </row>
    <row r="187" spans="13:17" ht="20.100000000000001" customHeight="1">
      <c r="M187" s="119"/>
      <c r="N187" s="119"/>
      <c r="O187" s="119"/>
      <c r="P187" s="179"/>
      <c r="Q187" s="213"/>
    </row>
    <row r="188" spans="13:17" ht="20.100000000000001" customHeight="1">
      <c r="M188" s="119"/>
      <c r="N188" s="119"/>
      <c r="O188" s="119"/>
      <c r="P188" s="179"/>
      <c r="Q188" s="213"/>
    </row>
    <row r="189" spans="13:17" ht="20.100000000000001" customHeight="1">
      <c r="M189" s="119"/>
      <c r="N189" s="119"/>
      <c r="O189" s="119"/>
      <c r="P189" s="179"/>
      <c r="Q189" s="213"/>
    </row>
    <row r="190" spans="13:17" ht="20.100000000000001" customHeight="1">
      <c r="M190" s="119"/>
      <c r="N190" s="119"/>
      <c r="O190" s="119"/>
      <c r="P190" s="179"/>
      <c r="Q190" s="213"/>
    </row>
    <row r="191" spans="13:17" ht="20.100000000000001" customHeight="1">
      <c r="M191" s="119"/>
      <c r="N191" s="119"/>
      <c r="O191" s="119"/>
      <c r="P191" s="179"/>
      <c r="Q191" s="213"/>
    </row>
    <row r="192" spans="13:17" ht="20.100000000000001" customHeight="1">
      <c r="M192" s="119"/>
      <c r="N192" s="119"/>
      <c r="O192" s="119"/>
      <c r="P192" s="178"/>
      <c r="Q192" s="213"/>
    </row>
    <row r="193" spans="13:17" ht="20.100000000000001" customHeight="1">
      <c r="M193" s="119"/>
      <c r="N193" s="119"/>
      <c r="O193" s="119"/>
      <c r="P193" s="179"/>
      <c r="Q193" s="213"/>
    </row>
    <row r="194" spans="13:17" ht="20.100000000000001" customHeight="1">
      <c r="M194" s="119"/>
      <c r="N194" s="119"/>
      <c r="O194" s="119"/>
      <c r="P194" s="179"/>
      <c r="Q194" s="213"/>
    </row>
    <row r="195" spans="13:17" ht="20.100000000000001" customHeight="1">
      <c r="M195" s="119"/>
      <c r="N195" s="119"/>
      <c r="O195" s="119"/>
      <c r="P195" s="179"/>
      <c r="Q195" s="213"/>
    </row>
    <row r="196" spans="13:17" ht="20.100000000000001" customHeight="1">
      <c r="M196" s="119"/>
      <c r="N196" s="119"/>
      <c r="O196" s="119"/>
      <c r="P196" s="179"/>
      <c r="Q196" s="213"/>
    </row>
    <row r="197" spans="13:17" ht="20.100000000000001" customHeight="1">
      <c r="M197" s="119"/>
      <c r="N197" s="119"/>
      <c r="O197" s="119"/>
      <c r="P197" s="179"/>
      <c r="Q197" s="213"/>
    </row>
    <row r="198" spans="13:17" ht="20.100000000000001" customHeight="1">
      <c r="M198" s="119"/>
      <c r="N198" s="119"/>
      <c r="O198" s="119"/>
      <c r="P198" s="179"/>
      <c r="Q198" s="213"/>
    </row>
    <row r="199" spans="13:17" ht="20.100000000000001" customHeight="1">
      <c r="M199" s="119"/>
      <c r="N199" s="119"/>
      <c r="O199" s="119"/>
      <c r="P199" s="179"/>
      <c r="Q199" s="213"/>
    </row>
    <row r="200" spans="13:17" ht="20.100000000000001" customHeight="1">
      <c r="M200" s="119"/>
      <c r="N200" s="119"/>
      <c r="O200" s="119"/>
      <c r="P200" s="179"/>
      <c r="Q200" s="213"/>
    </row>
    <row r="201" spans="13:17" ht="20.100000000000001" customHeight="1">
      <c r="M201" s="119"/>
      <c r="N201" s="119"/>
      <c r="O201" s="119"/>
      <c r="P201" s="179"/>
      <c r="Q201" s="213"/>
    </row>
    <row r="202" spans="13:17" ht="20.100000000000001" customHeight="1">
      <c r="M202" s="119"/>
      <c r="N202" s="119"/>
      <c r="O202" s="119"/>
      <c r="P202" s="179"/>
      <c r="Q202" s="213"/>
    </row>
    <row r="203" spans="13:17" ht="20.100000000000001" customHeight="1">
      <c r="M203" s="119"/>
      <c r="N203" s="119"/>
      <c r="O203" s="119"/>
      <c r="P203" s="179"/>
      <c r="Q203" s="213"/>
    </row>
    <row r="204" spans="13:17" ht="20.100000000000001" customHeight="1">
      <c r="M204" s="119"/>
      <c r="N204" s="119"/>
      <c r="O204" s="119"/>
      <c r="P204" s="179"/>
      <c r="Q204" s="213"/>
    </row>
    <row r="205" spans="13:17" ht="20.100000000000001" customHeight="1">
      <c r="M205" s="119"/>
      <c r="N205" s="119"/>
      <c r="O205" s="119"/>
      <c r="P205" s="179"/>
      <c r="Q205" s="213"/>
    </row>
    <row r="206" spans="13:17" ht="20.100000000000001" customHeight="1">
      <c r="M206" s="119"/>
      <c r="N206" s="119"/>
      <c r="O206" s="119"/>
      <c r="P206" s="179"/>
      <c r="Q206" s="213"/>
    </row>
    <row r="207" spans="13:17" ht="20.100000000000001" customHeight="1">
      <c r="M207" s="119"/>
      <c r="N207" s="119"/>
      <c r="O207" s="119"/>
      <c r="P207" s="179"/>
      <c r="Q207" s="213"/>
    </row>
    <row r="208" spans="13:17" ht="20.100000000000001" customHeight="1">
      <c r="M208" s="119"/>
      <c r="N208" s="119"/>
      <c r="O208" s="119"/>
      <c r="P208" s="179"/>
      <c r="Q208" s="213"/>
    </row>
    <row r="209" spans="13:17" ht="20.100000000000001" customHeight="1">
      <c r="M209" s="119"/>
      <c r="N209" s="119"/>
      <c r="O209" s="119"/>
      <c r="P209" s="179"/>
      <c r="Q209" s="213"/>
    </row>
    <row r="210" spans="13:17" ht="20.100000000000001" customHeight="1">
      <c r="M210" s="119"/>
      <c r="N210" s="119"/>
      <c r="O210" s="119"/>
      <c r="P210" s="179"/>
      <c r="Q210" s="213"/>
    </row>
    <row r="211" spans="13:17" ht="20.100000000000001" customHeight="1">
      <c r="M211" s="119"/>
      <c r="N211" s="119"/>
      <c r="O211" s="119"/>
      <c r="P211" s="179"/>
      <c r="Q211" s="213"/>
    </row>
    <row r="212" spans="13:17" ht="20.100000000000001" customHeight="1">
      <c r="M212" s="119"/>
      <c r="N212" s="119"/>
      <c r="O212" s="119"/>
      <c r="P212" s="179"/>
      <c r="Q212" s="213"/>
    </row>
    <row r="213" spans="13:17" ht="20.100000000000001" customHeight="1">
      <c r="M213" s="119"/>
      <c r="N213" s="119"/>
      <c r="O213" s="119"/>
      <c r="P213" s="179"/>
      <c r="Q213" s="213"/>
    </row>
    <row r="214" spans="13:17" ht="20.100000000000001" customHeight="1">
      <c r="M214" s="119"/>
      <c r="N214" s="119"/>
      <c r="O214" s="119"/>
      <c r="P214" s="179"/>
      <c r="Q214" s="213"/>
    </row>
    <row r="215" spans="13:17" ht="20.100000000000001" customHeight="1">
      <c r="M215" s="119"/>
      <c r="N215" s="119"/>
      <c r="O215" s="119"/>
      <c r="P215" s="179"/>
      <c r="Q215" s="213"/>
    </row>
    <row r="216" spans="13:17" ht="20.100000000000001" customHeight="1">
      <c r="M216" s="119"/>
      <c r="N216" s="119"/>
      <c r="O216" s="119"/>
      <c r="P216" s="179"/>
      <c r="Q216" s="213"/>
    </row>
    <row r="217" spans="13:17" ht="20.100000000000001" customHeight="1">
      <c r="M217" s="119"/>
      <c r="N217" s="119"/>
      <c r="O217" s="119"/>
      <c r="P217" s="179"/>
      <c r="Q217" s="213"/>
    </row>
    <row r="218" spans="13:17" ht="20.100000000000001" customHeight="1">
      <c r="M218" s="119"/>
      <c r="N218" s="119"/>
      <c r="O218" s="119"/>
      <c r="P218" s="179"/>
      <c r="Q218" s="213"/>
    </row>
    <row r="219" spans="13:17" ht="20.100000000000001" customHeight="1">
      <c r="M219" s="119"/>
      <c r="N219" s="119"/>
      <c r="O219" s="119"/>
      <c r="P219" s="179"/>
      <c r="Q219" s="213"/>
    </row>
    <row r="220" spans="13:17" ht="20.100000000000001" customHeight="1">
      <c r="M220" s="119"/>
      <c r="N220" s="119"/>
      <c r="O220" s="119"/>
      <c r="P220" s="179"/>
      <c r="Q220" s="213"/>
    </row>
    <row r="221" spans="13:17" ht="20.100000000000001" customHeight="1">
      <c r="M221" s="119"/>
      <c r="N221" s="119"/>
      <c r="O221" s="119"/>
      <c r="P221" s="179"/>
      <c r="Q221" s="213"/>
    </row>
    <row r="222" spans="13:17" ht="20.100000000000001" customHeight="1">
      <c r="M222" s="119"/>
      <c r="N222" s="119"/>
      <c r="O222" s="119"/>
      <c r="P222" s="179"/>
      <c r="Q222" s="213"/>
    </row>
    <row r="223" spans="13:17" ht="20.100000000000001" customHeight="1">
      <c r="M223" s="119"/>
      <c r="N223" s="119"/>
      <c r="O223" s="119"/>
      <c r="P223" s="179"/>
      <c r="Q223" s="213"/>
    </row>
    <row r="224" spans="13:17" ht="20.100000000000001" customHeight="1">
      <c r="M224" s="119"/>
      <c r="N224" s="119"/>
      <c r="O224" s="119"/>
      <c r="P224" s="179"/>
      <c r="Q224" s="213"/>
    </row>
    <row r="225" spans="13:17" ht="20.100000000000001" customHeight="1">
      <c r="M225" s="119"/>
      <c r="N225" s="119"/>
      <c r="O225" s="119"/>
      <c r="P225" s="179"/>
      <c r="Q225" s="213"/>
    </row>
    <row r="226" spans="13:17" ht="20.100000000000001" customHeight="1">
      <c r="M226" s="119"/>
      <c r="N226" s="119"/>
      <c r="O226" s="119"/>
      <c r="P226" s="179"/>
      <c r="Q226" s="213"/>
    </row>
    <row r="227" spans="13:17" ht="20.100000000000001" customHeight="1">
      <c r="M227" s="119"/>
      <c r="N227" s="119"/>
      <c r="O227" s="119"/>
      <c r="P227" s="179"/>
      <c r="Q227" s="213"/>
    </row>
    <row r="228" spans="13:17" ht="20.100000000000001" customHeight="1">
      <c r="M228" s="119"/>
      <c r="N228" s="119"/>
      <c r="O228" s="119"/>
      <c r="P228" s="179"/>
      <c r="Q228" s="213"/>
    </row>
    <row r="229" spans="13:17" ht="20.100000000000001" customHeight="1">
      <c r="M229" s="119"/>
      <c r="N229" s="119"/>
      <c r="O229" s="119"/>
      <c r="P229" s="179"/>
      <c r="Q229" s="213"/>
    </row>
    <row r="230" spans="13:17" ht="20.100000000000001" customHeight="1">
      <c r="M230" s="119"/>
      <c r="N230" s="119"/>
      <c r="O230" s="119"/>
      <c r="P230" s="179"/>
      <c r="Q230" s="213"/>
    </row>
    <row r="231" spans="13:17" ht="20.100000000000001" customHeight="1">
      <c r="M231" s="119"/>
      <c r="N231" s="119"/>
      <c r="O231" s="119"/>
      <c r="P231" s="179"/>
      <c r="Q231" s="213"/>
    </row>
    <row r="232" spans="13:17" ht="20.100000000000001" customHeight="1">
      <c r="M232" s="119"/>
      <c r="N232" s="119"/>
      <c r="O232" s="119"/>
      <c r="P232" s="179"/>
      <c r="Q232" s="213"/>
    </row>
    <row r="233" spans="13:17" ht="20.100000000000001" customHeight="1">
      <c r="M233" s="119"/>
      <c r="N233" s="119"/>
      <c r="O233" s="119"/>
      <c r="P233" s="179"/>
      <c r="Q233" s="213"/>
    </row>
    <row r="234" spans="13:17" ht="20.100000000000001" customHeight="1">
      <c r="M234" s="119"/>
      <c r="N234" s="119"/>
      <c r="O234" s="119"/>
      <c r="P234" s="179"/>
      <c r="Q234" s="213"/>
    </row>
    <row r="235" spans="13:17" ht="20.100000000000001" customHeight="1">
      <c r="M235" s="119"/>
      <c r="N235" s="119"/>
      <c r="O235" s="119"/>
      <c r="P235" s="179"/>
      <c r="Q235" s="213"/>
    </row>
    <row r="236" spans="13:17" ht="20.100000000000001" customHeight="1">
      <c r="M236" s="119"/>
      <c r="N236" s="119"/>
      <c r="O236" s="119"/>
      <c r="P236" s="179"/>
      <c r="Q236" s="213"/>
    </row>
    <row r="237" spans="13:17" ht="20.100000000000001" customHeight="1">
      <c r="M237" s="119"/>
      <c r="N237" s="119"/>
      <c r="O237" s="119"/>
      <c r="P237" s="179"/>
      <c r="Q237" s="213"/>
    </row>
    <row r="238" spans="13:17" ht="20.100000000000001" customHeight="1">
      <c r="M238" s="119"/>
      <c r="N238" s="119"/>
      <c r="O238" s="119"/>
      <c r="P238" s="179"/>
      <c r="Q238" s="213"/>
    </row>
    <row r="239" spans="13:17" ht="20.100000000000001" customHeight="1">
      <c r="M239" s="119"/>
      <c r="N239" s="119"/>
      <c r="O239" s="119"/>
      <c r="P239" s="179"/>
      <c r="Q239" s="213"/>
    </row>
    <row r="240" spans="13:17" ht="20.100000000000001" customHeight="1">
      <c r="M240" s="119"/>
      <c r="N240" s="119"/>
      <c r="O240" s="119"/>
      <c r="P240" s="179"/>
      <c r="Q240" s="213"/>
    </row>
    <row r="241" spans="13:17" ht="20.100000000000001" customHeight="1">
      <c r="M241" s="119"/>
      <c r="N241" s="119"/>
      <c r="O241" s="119"/>
      <c r="P241" s="179"/>
      <c r="Q241" s="213"/>
    </row>
    <row r="242" spans="13:17" ht="20.100000000000001" customHeight="1">
      <c r="M242" s="119"/>
      <c r="N242" s="119"/>
      <c r="O242" s="119"/>
      <c r="P242" s="179"/>
      <c r="Q242" s="213"/>
    </row>
    <row r="243" spans="13:17" ht="20.100000000000001" customHeight="1">
      <c r="M243" s="119"/>
      <c r="N243" s="119"/>
      <c r="O243" s="119"/>
      <c r="P243" s="179"/>
      <c r="Q243" s="213"/>
    </row>
    <row r="244" spans="13:17" ht="20.100000000000001" customHeight="1">
      <c r="M244" s="119"/>
      <c r="N244" s="119"/>
      <c r="O244" s="119"/>
      <c r="P244" s="179"/>
      <c r="Q244" s="213"/>
    </row>
    <row r="245" spans="13:17" ht="20.100000000000001" customHeight="1">
      <c r="M245" s="119"/>
      <c r="N245" s="119"/>
      <c r="O245" s="119"/>
      <c r="P245" s="179"/>
      <c r="Q245" s="213"/>
    </row>
    <row r="246" spans="13:17" ht="20.100000000000001" customHeight="1">
      <c r="M246" s="119"/>
      <c r="N246" s="119"/>
      <c r="O246" s="119"/>
      <c r="P246" s="179"/>
      <c r="Q246" s="213"/>
    </row>
    <row r="247" spans="13:17" ht="20.100000000000001" customHeight="1">
      <c r="M247" s="119"/>
      <c r="N247" s="119"/>
      <c r="O247" s="119"/>
      <c r="P247" s="179"/>
      <c r="Q247" s="213"/>
    </row>
    <row r="248" spans="13:17" ht="20.100000000000001" customHeight="1">
      <c r="M248" s="119"/>
      <c r="N248" s="119"/>
      <c r="O248" s="119"/>
      <c r="P248" s="179"/>
      <c r="Q248" s="213"/>
    </row>
    <row r="249" spans="13:17" ht="20.100000000000001" customHeight="1">
      <c r="M249" s="119"/>
      <c r="N249" s="119"/>
      <c r="O249" s="119"/>
      <c r="P249" s="179"/>
      <c r="Q249" s="213"/>
    </row>
    <row r="250" spans="13:17" ht="20.100000000000001" customHeight="1">
      <c r="M250" s="119"/>
      <c r="N250" s="119"/>
      <c r="O250" s="119"/>
      <c r="P250" s="179"/>
      <c r="Q250" s="213"/>
    </row>
    <row r="251" spans="13:17" ht="20.100000000000001" customHeight="1">
      <c r="M251" s="119"/>
      <c r="N251" s="119"/>
      <c r="O251" s="119"/>
      <c r="P251" s="179"/>
      <c r="Q251" s="213"/>
    </row>
    <row r="252" spans="13:17" ht="20.100000000000001" customHeight="1">
      <c r="M252" s="119"/>
      <c r="N252" s="119"/>
      <c r="O252" s="119"/>
      <c r="P252" s="179"/>
      <c r="Q252" s="213"/>
    </row>
    <row r="253" spans="13:17" ht="20.100000000000001" customHeight="1">
      <c r="M253" s="119"/>
      <c r="N253" s="119"/>
      <c r="O253" s="119"/>
      <c r="P253" s="179"/>
      <c r="Q253" s="213"/>
    </row>
    <row r="254" spans="13:17" ht="20.100000000000001" customHeight="1">
      <c r="M254" s="119"/>
      <c r="N254" s="119"/>
      <c r="O254" s="119"/>
      <c r="P254" s="179"/>
      <c r="Q254" s="213"/>
    </row>
    <row r="255" spans="13:17" ht="20.100000000000001" customHeight="1">
      <c r="M255" s="119"/>
      <c r="N255" s="119"/>
      <c r="O255" s="119"/>
      <c r="P255" s="179"/>
      <c r="Q255" s="213"/>
    </row>
    <row r="256" spans="13:17" ht="20.100000000000001" customHeight="1">
      <c r="M256" s="119"/>
      <c r="N256" s="119"/>
      <c r="O256" s="119"/>
      <c r="P256" s="179"/>
      <c r="Q256" s="213"/>
    </row>
    <row r="257" spans="13:17" ht="20.100000000000001" customHeight="1">
      <c r="M257" s="119"/>
      <c r="N257" s="119"/>
      <c r="O257" s="119"/>
      <c r="P257" s="179"/>
      <c r="Q257" s="213"/>
    </row>
    <row r="258" spans="13:17" ht="20.100000000000001" customHeight="1">
      <c r="M258" s="119"/>
      <c r="N258" s="119"/>
      <c r="O258" s="119"/>
      <c r="P258" s="179"/>
      <c r="Q258" s="213"/>
    </row>
    <row r="259" spans="13:17" ht="20.100000000000001" customHeight="1">
      <c r="M259" s="119"/>
      <c r="N259" s="119"/>
      <c r="O259" s="119"/>
      <c r="P259" s="179"/>
      <c r="Q259" s="213"/>
    </row>
    <row r="260" spans="13:17" ht="20.100000000000001" customHeight="1">
      <c r="M260" s="119"/>
      <c r="N260" s="119"/>
      <c r="O260" s="119"/>
      <c r="P260" s="179"/>
      <c r="Q260" s="213"/>
    </row>
    <row r="261" spans="13:17" ht="20.100000000000001" customHeight="1">
      <c r="M261" s="119"/>
      <c r="N261" s="119"/>
      <c r="O261" s="119"/>
      <c r="P261" s="179"/>
      <c r="Q261" s="213"/>
    </row>
    <row r="262" spans="13:17" ht="20.100000000000001" customHeight="1">
      <c r="M262" s="119"/>
      <c r="N262" s="119"/>
      <c r="O262" s="119"/>
      <c r="P262" s="179"/>
      <c r="Q262" s="213"/>
    </row>
    <row r="263" spans="13:17" ht="20.100000000000001" customHeight="1">
      <c r="M263" s="119"/>
      <c r="N263" s="119"/>
      <c r="O263" s="119"/>
      <c r="P263" s="179"/>
      <c r="Q263" s="213"/>
    </row>
    <row r="264" spans="13:17" ht="20.100000000000001" customHeight="1">
      <c r="M264" s="119"/>
      <c r="N264" s="119"/>
      <c r="O264" s="119"/>
      <c r="P264" s="179"/>
      <c r="Q264" s="213"/>
    </row>
    <row r="265" spans="13:17" ht="20.100000000000001" customHeight="1">
      <c r="M265" s="119"/>
      <c r="N265" s="119"/>
      <c r="O265" s="119"/>
      <c r="P265" s="179"/>
      <c r="Q265" s="213"/>
    </row>
    <row r="266" spans="13:17" ht="20.100000000000001" customHeight="1">
      <c r="M266" s="119"/>
      <c r="N266" s="119"/>
      <c r="O266" s="119"/>
      <c r="P266" s="179"/>
      <c r="Q266" s="213"/>
    </row>
    <row r="267" spans="13:17" ht="20.100000000000001" customHeight="1">
      <c r="M267" s="119"/>
      <c r="N267" s="119"/>
      <c r="O267" s="119"/>
      <c r="P267" s="179"/>
      <c r="Q267" s="213"/>
    </row>
    <row r="268" spans="13:17" ht="20.100000000000001" customHeight="1">
      <c r="M268" s="119"/>
      <c r="N268" s="119"/>
      <c r="O268" s="119"/>
      <c r="P268" s="179"/>
      <c r="Q268" s="213"/>
    </row>
    <row r="269" spans="13:17" ht="20.100000000000001" customHeight="1">
      <c r="M269" s="119"/>
      <c r="N269" s="119"/>
      <c r="O269" s="119"/>
      <c r="P269" s="179"/>
      <c r="Q269" s="213"/>
    </row>
    <row r="270" spans="13:17" ht="20.100000000000001" customHeight="1">
      <c r="M270" s="119"/>
      <c r="N270" s="119"/>
      <c r="O270" s="119"/>
      <c r="P270" s="179"/>
      <c r="Q270" s="213"/>
    </row>
    <row r="271" spans="13:17" ht="20.100000000000001" customHeight="1">
      <c r="M271" s="119"/>
      <c r="N271" s="119"/>
      <c r="O271" s="119"/>
      <c r="P271" s="179"/>
      <c r="Q271" s="213"/>
    </row>
    <row r="272" spans="13:17" ht="20.100000000000001" customHeight="1">
      <c r="M272" s="119"/>
      <c r="N272" s="119"/>
      <c r="O272" s="119"/>
      <c r="P272" s="179"/>
      <c r="Q272" s="213"/>
    </row>
    <row r="273" spans="13:17" ht="20.100000000000001" customHeight="1">
      <c r="M273" s="119"/>
      <c r="N273" s="119"/>
      <c r="O273" s="119"/>
      <c r="P273" s="179"/>
      <c r="Q273" s="213"/>
    </row>
    <row r="274" spans="13:17" ht="20.100000000000001" customHeight="1">
      <c r="M274" s="119"/>
      <c r="N274" s="119"/>
      <c r="O274" s="119"/>
      <c r="P274" s="179"/>
      <c r="Q274" s="213"/>
    </row>
    <row r="275" spans="13:17" ht="20.100000000000001" customHeight="1">
      <c r="M275" s="119"/>
      <c r="N275" s="119"/>
      <c r="O275" s="119"/>
      <c r="P275" s="179"/>
      <c r="Q275" s="213"/>
    </row>
    <row r="276" spans="13:17" ht="20.100000000000001" customHeight="1">
      <c r="M276" s="119"/>
      <c r="N276" s="119"/>
      <c r="O276" s="119"/>
      <c r="P276" s="179"/>
      <c r="Q276" s="213"/>
    </row>
    <row r="277" spans="13:17" ht="20.100000000000001" customHeight="1">
      <c r="M277" s="119"/>
      <c r="N277" s="119"/>
      <c r="O277" s="119"/>
      <c r="P277" s="179"/>
      <c r="Q277" s="213"/>
    </row>
    <row r="278" spans="13:17" ht="20.100000000000001" customHeight="1">
      <c r="M278" s="119"/>
      <c r="N278" s="119"/>
      <c r="O278" s="119"/>
      <c r="P278" s="179"/>
      <c r="Q278" s="213"/>
    </row>
    <row r="279" spans="13:17" ht="20.100000000000001" customHeight="1">
      <c r="M279" s="119"/>
      <c r="N279" s="119"/>
      <c r="O279" s="119"/>
      <c r="P279" s="179"/>
      <c r="Q279" s="213"/>
    </row>
    <row r="280" spans="13:17" ht="20.100000000000001" customHeight="1">
      <c r="M280" s="119"/>
      <c r="N280" s="119"/>
      <c r="O280" s="119"/>
      <c r="P280" s="179"/>
      <c r="Q280" s="213"/>
    </row>
    <row r="281" spans="13:17" ht="20.100000000000001" customHeight="1">
      <c r="M281" s="119"/>
      <c r="N281" s="119"/>
      <c r="O281" s="119"/>
      <c r="P281" s="179"/>
      <c r="Q281" s="213"/>
    </row>
    <row r="282" spans="13:17" ht="20.100000000000001" customHeight="1">
      <c r="M282" s="119"/>
      <c r="N282" s="119"/>
      <c r="O282" s="119"/>
      <c r="P282" s="179"/>
      <c r="Q282" s="213"/>
    </row>
    <row r="283" spans="13:17" ht="20.100000000000001" customHeight="1">
      <c r="M283" s="119"/>
      <c r="N283" s="119"/>
      <c r="O283" s="119"/>
      <c r="P283" s="179"/>
      <c r="Q283" s="213"/>
    </row>
    <row r="284" spans="13:17" ht="20.100000000000001" customHeight="1">
      <c r="M284" s="119"/>
      <c r="N284" s="119"/>
      <c r="O284" s="119"/>
      <c r="P284" s="179"/>
      <c r="Q284" s="213"/>
    </row>
    <row r="285" spans="13:17" ht="20.100000000000001" customHeight="1">
      <c r="M285" s="119"/>
      <c r="N285" s="119"/>
      <c r="O285" s="119"/>
      <c r="P285" s="179"/>
      <c r="Q285" s="213"/>
    </row>
    <row r="286" spans="13:17" ht="20.100000000000001" customHeight="1">
      <c r="M286" s="119"/>
      <c r="N286" s="119"/>
      <c r="O286" s="119"/>
      <c r="P286" s="179"/>
      <c r="Q286" s="213"/>
    </row>
    <row r="287" spans="13:17" ht="20.100000000000001" customHeight="1">
      <c r="M287" s="119"/>
      <c r="N287" s="119"/>
      <c r="O287" s="119"/>
      <c r="P287" s="179"/>
      <c r="Q287" s="213"/>
    </row>
    <row r="288" spans="13:17" ht="20.100000000000001" customHeight="1">
      <c r="M288" s="119"/>
      <c r="N288" s="119"/>
      <c r="O288" s="119"/>
      <c r="P288" s="179"/>
      <c r="Q288" s="213"/>
    </row>
    <row r="289" spans="13:17" ht="20.100000000000001" customHeight="1">
      <c r="M289" s="119"/>
      <c r="N289" s="119"/>
      <c r="O289" s="119"/>
      <c r="P289" s="179"/>
      <c r="Q289" s="213"/>
    </row>
    <row r="290" spans="13:17" ht="20.100000000000001" customHeight="1">
      <c r="M290" s="119"/>
      <c r="N290" s="119"/>
      <c r="O290" s="119"/>
      <c r="P290" s="179"/>
      <c r="Q290" s="213"/>
    </row>
    <row r="291" spans="13:17" ht="20.100000000000001" customHeight="1">
      <c r="M291" s="119"/>
      <c r="N291" s="119"/>
      <c r="O291" s="119"/>
      <c r="P291" s="179"/>
      <c r="Q291" s="213"/>
    </row>
    <row r="292" spans="13:17" ht="20.100000000000001" customHeight="1">
      <c r="M292" s="119"/>
      <c r="N292" s="119"/>
      <c r="O292" s="119"/>
      <c r="P292" s="179"/>
      <c r="Q292" s="213"/>
    </row>
    <row r="293" spans="13:17" ht="20.100000000000001" customHeight="1">
      <c r="M293" s="119"/>
      <c r="N293" s="119"/>
      <c r="O293" s="119"/>
      <c r="P293" s="179"/>
      <c r="Q293" s="213"/>
    </row>
    <row r="294" spans="13:17" ht="20.100000000000001" customHeight="1">
      <c r="M294" s="119"/>
      <c r="N294" s="119"/>
      <c r="O294" s="119"/>
      <c r="P294" s="179"/>
      <c r="Q294" s="213"/>
    </row>
    <row r="295" spans="13:17" ht="20.100000000000001" customHeight="1">
      <c r="M295" s="119"/>
      <c r="N295" s="119"/>
      <c r="O295" s="119"/>
      <c r="P295" s="179"/>
      <c r="Q295" s="213"/>
    </row>
    <row r="296" spans="13:17" ht="20.100000000000001" customHeight="1">
      <c r="M296" s="119"/>
      <c r="N296" s="119"/>
      <c r="O296" s="119"/>
      <c r="P296" s="179"/>
      <c r="Q296" s="213"/>
    </row>
    <row r="297" spans="13:17" ht="20.100000000000001" customHeight="1">
      <c r="M297" s="119"/>
      <c r="N297" s="119"/>
      <c r="O297" s="119"/>
      <c r="P297" s="179"/>
      <c r="Q297" s="213"/>
    </row>
    <row r="298" spans="13:17" ht="20.100000000000001" customHeight="1">
      <c r="M298" s="119"/>
      <c r="N298" s="119"/>
      <c r="O298" s="119"/>
      <c r="P298" s="179"/>
      <c r="Q298" s="213"/>
    </row>
    <row r="299" spans="13:17" ht="20.100000000000001" customHeight="1">
      <c r="M299" s="119"/>
      <c r="N299" s="119"/>
      <c r="O299" s="119"/>
      <c r="P299" s="179"/>
      <c r="Q299" s="213"/>
    </row>
    <row r="300" spans="13:17" ht="20.100000000000001" customHeight="1">
      <c r="M300" s="119"/>
      <c r="N300" s="119"/>
      <c r="O300" s="119"/>
      <c r="P300" s="179"/>
      <c r="Q300" s="213"/>
    </row>
    <row r="301" spans="13:17" ht="20.100000000000001" customHeight="1">
      <c r="M301" s="119"/>
      <c r="N301" s="119"/>
      <c r="O301" s="119"/>
      <c r="P301" s="179"/>
      <c r="Q301" s="213"/>
    </row>
    <row r="302" spans="13:17" ht="20.100000000000001" customHeight="1">
      <c r="M302" s="119"/>
      <c r="N302" s="119"/>
      <c r="O302" s="119"/>
      <c r="P302" s="179"/>
      <c r="Q302" s="213"/>
    </row>
    <row r="303" spans="13:17" ht="20.100000000000001" customHeight="1">
      <c r="M303" s="119"/>
      <c r="N303" s="119"/>
      <c r="O303" s="119"/>
      <c r="P303" s="179"/>
      <c r="Q303" s="213"/>
    </row>
    <row r="304" spans="13:17" ht="20.100000000000001" customHeight="1">
      <c r="M304" s="119"/>
      <c r="N304" s="119"/>
      <c r="O304" s="119"/>
      <c r="P304" s="179"/>
      <c r="Q304" s="213"/>
    </row>
    <row r="305" spans="13:17" ht="20.100000000000001" customHeight="1">
      <c r="M305" s="119"/>
      <c r="N305" s="119"/>
      <c r="O305" s="119"/>
      <c r="P305" s="179"/>
      <c r="Q305" s="213"/>
    </row>
    <row r="306" spans="13:17" ht="20.100000000000001" customHeight="1">
      <c r="M306" s="119"/>
      <c r="N306" s="119"/>
      <c r="O306" s="119"/>
      <c r="P306" s="179"/>
      <c r="Q306" s="213"/>
    </row>
    <row r="307" spans="13:17" ht="20.100000000000001" customHeight="1">
      <c r="M307" s="119"/>
      <c r="N307" s="119"/>
      <c r="O307" s="119"/>
      <c r="P307" s="179"/>
      <c r="Q307" s="213"/>
    </row>
    <row r="308" spans="13:17" ht="20.100000000000001" customHeight="1">
      <c r="M308" s="119"/>
      <c r="N308" s="119"/>
      <c r="O308" s="119"/>
      <c r="P308" s="179"/>
      <c r="Q308" s="213"/>
    </row>
    <row r="309" spans="13:17" ht="20.100000000000001" customHeight="1">
      <c r="M309" s="119"/>
      <c r="N309" s="119"/>
      <c r="O309" s="119"/>
      <c r="P309" s="179"/>
      <c r="Q309" s="213"/>
    </row>
    <row r="310" spans="13:17" ht="20.100000000000001" customHeight="1">
      <c r="M310" s="119"/>
      <c r="N310" s="119"/>
      <c r="O310" s="119"/>
      <c r="P310" s="179"/>
      <c r="Q310" s="213"/>
    </row>
    <row r="311" spans="13:17" ht="20.100000000000001" customHeight="1">
      <c r="M311" s="119"/>
      <c r="N311" s="119"/>
      <c r="O311" s="119"/>
      <c r="P311" s="179"/>
      <c r="Q311" s="213"/>
    </row>
    <row r="312" spans="13:17" ht="20.100000000000001" customHeight="1">
      <c r="M312" s="119"/>
      <c r="N312" s="119"/>
      <c r="O312" s="119"/>
      <c r="P312" s="179"/>
      <c r="Q312" s="213"/>
    </row>
    <row r="313" spans="13:17" ht="20.100000000000001" customHeight="1">
      <c r="M313" s="119"/>
      <c r="N313" s="119"/>
      <c r="O313" s="119"/>
      <c r="P313" s="179"/>
      <c r="Q313" s="213"/>
    </row>
    <row r="314" spans="13:17" ht="20.100000000000001" customHeight="1">
      <c r="M314" s="119"/>
      <c r="N314" s="119"/>
      <c r="O314" s="119"/>
      <c r="P314" s="179"/>
      <c r="Q314" s="213"/>
    </row>
    <row r="315" spans="13:17" ht="20.100000000000001" customHeight="1">
      <c r="M315" s="119"/>
      <c r="N315" s="119"/>
      <c r="O315" s="119"/>
      <c r="P315" s="179"/>
      <c r="Q315" s="213"/>
    </row>
    <row r="316" spans="13:17" ht="20.100000000000001" customHeight="1">
      <c r="M316" s="119"/>
      <c r="N316" s="119"/>
      <c r="O316" s="119"/>
      <c r="P316" s="179"/>
      <c r="Q316" s="213"/>
    </row>
    <row r="317" spans="13:17" ht="20.100000000000001" customHeight="1">
      <c r="M317" s="119"/>
      <c r="N317" s="119"/>
      <c r="O317" s="119"/>
      <c r="P317" s="176"/>
      <c r="Q317" s="213"/>
    </row>
    <row r="318" spans="13:17" ht="20.100000000000001" customHeight="1">
      <c r="M318" s="119"/>
      <c r="N318" s="119"/>
      <c r="O318" s="119"/>
      <c r="P318" s="180"/>
      <c r="Q318" s="213"/>
    </row>
    <row r="319" spans="13:17" ht="20.100000000000001" customHeight="1">
      <c r="M319" s="119"/>
      <c r="N319" s="119"/>
      <c r="O319" s="119"/>
      <c r="P319" s="180"/>
      <c r="Q319" s="213"/>
    </row>
    <row r="320" spans="13:17" ht="20.100000000000001" customHeight="1">
      <c r="M320" s="119"/>
      <c r="N320" s="119"/>
      <c r="O320" s="119"/>
      <c r="P320" s="180"/>
      <c r="Q320" s="213"/>
    </row>
    <row r="321" spans="13:17" ht="20.100000000000001" customHeight="1">
      <c r="M321" s="119"/>
      <c r="N321" s="119"/>
      <c r="O321" s="119"/>
      <c r="P321" s="180"/>
      <c r="Q321" s="213"/>
    </row>
    <row r="322" spans="13:17" ht="20.100000000000001" customHeight="1">
      <c r="M322" s="119"/>
      <c r="N322" s="119"/>
      <c r="O322" s="119"/>
      <c r="P322" s="180"/>
      <c r="Q322" s="213"/>
    </row>
    <row r="323" spans="13:17" ht="20.100000000000001" customHeight="1">
      <c r="M323" s="119"/>
      <c r="N323" s="119"/>
      <c r="O323" s="119"/>
      <c r="P323" s="180"/>
      <c r="Q323" s="213"/>
    </row>
    <row r="324" spans="13:17" ht="20.100000000000001" customHeight="1">
      <c r="M324" s="119"/>
      <c r="N324" s="119"/>
      <c r="O324" s="119"/>
      <c r="P324" s="180"/>
      <c r="Q324" s="213"/>
    </row>
    <row r="325" spans="13:17" ht="20.100000000000001" customHeight="1">
      <c r="M325" s="119"/>
      <c r="N325" s="119"/>
      <c r="O325" s="119"/>
      <c r="P325" s="180"/>
      <c r="Q325" s="213"/>
    </row>
    <row r="326" spans="13:17" ht="20.100000000000001" customHeight="1">
      <c r="M326" s="119"/>
      <c r="N326" s="119"/>
      <c r="O326" s="119"/>
      <c r="P326" s="180"/>
      <c r="Q326" s="213"/>
    </row>
    <row r="327" spans="13:17" ht="20.100000000000001" customHeight="1">
      <c r="M327" s="119"/>
      <c r="N327" s="119"/>
      <c r="O327" s="119"/>
      <c r="P327" s="180"/>
      <c r="Q327" s="213"/>
    </row>
    <row r="328" spans="13:17" ht="20.100000000000001" customHeight="1">
      <c r="M328" s="119"/>
      <c r="N328" s="119"/>
      <c r="O328" s="119"/>
      <c r="P328" s="180"/>
      <c r="Q328" s="213"/>
    </row>
    <row r="329" spans="13:17" ht="20.100000000000001" customHeight="1">
      <c r="M329" s="119"/>
      <c r="N329" s="119"/>
      <c r="O329" s="119"/>
      <c r="P329" s="180"/>
      <c r="Q329" s="213"/>
    </row>
    <row r="330" spans="13:17" ht="20.100000000000001" customHeight="1">
      <c r="M330" s="119"/>
      <c r="N330" s="119"/>
      <c r="O330" s="119"/>
      <c r="P330" s="180"/>
      <c r="Q330" s="213"/>
    </row>
    <row r="331" spans="13:17" ht="20.100000000000001" customHeight="1">
      <c r="M331" s="119"/>
      <c r="N331" s="119"/>
      <c r="O331" s="119"/>
      <c r="P331" s="180"/>
      <c r="Q331" s="213"/>
    </row>
    <row r="332" spans="13:17" ht="20.100000000000001" customHeight="1">
      <c r="M332" s="119"/>
      <c r="N332" s="119"/>
      <c r="O332" s="119"/>
      <c r="P332" s="180"/>
      <c r="Q332" s="213"/>
    </row>
    <row r="333" spans="13:17" ht="20.100000000000001" customHeight="1">
      <c r="M333" s="119"/>
      <c r="N333" s="119"/>
      <c r="O333" s="119"/>
      <c r="P333" s="180"/>
      <c r="Q333" s="213"/>
    </row>
    <row r="334" spans="13:17" ht="20.100000000000001" customHeight="1">
      <c r="M334" s="119"/>
      <c r="N334" s="119"/>
      <c r="O334" s="119"/>
      <c r="P334" s="180"/>
      <c r="Q334" s="213"/>
    </row>
    <row r="335" spans="13:17" ht="20.100000000000001" customHeight="1">
      <c r="M335" s="119"/>
      <c r="N335" s="119"/>
      <c r="O335" s="119"/>
      <c r="P335" s="180"/>
      <c r="Q335" s="213"/>
    </row>
    <row r="336" spans="13:17" ht="20.100000000000001" customHeight="1">
      <c r="M336" s="119"/>
      <c r="N336" s="119"/>
      <c r="O336" s="119"/>
      <c r="P336" s="180"/>
      <c r="Q336" s="213"/>
    </row>
    <row r="337" spans="13:17" ht="20.100000000000001" customHeight="1">
      <c r="M337" s="119"/>
      <c r="N337" s="119"/>
      <c r="O337" s="119"/>
      <c r="P337" s="180"/>
      <c r="Q337" s="213"/>
    </row>
    <row r="338" spans="13:17" ht="20.100000000000001" customHeight="1">
      <c r="M338" s="119"/>
      <c r="N338" s="119"/>
      <c r="O338" s="119"/>
      <c r="P338" s="180"/>
      <c r="Q338" s="213"/>
    </row>
    <row r="339" spans="13:17" ht="20.100000000000001" customHeight="1">
      <c r="M339" s="119"/>
      <c r="N339" s="119"/>
      <c r="O339" s="119"/>
      <c r="P339" s="180"/>
      <c r="Q339" s="213"/>
    </row>
    <row r="340" spans="13:17" ht="20.100000000000001" customHeight="1">
      <c r="M340" s="119"/>
      <c r="N340" s="119"/>
      <c r="O340" s="119"/>
      <c r="P340" s="180"/>
      <c r="Q340" s="213"/>
    </row>
    <row r="341" spans="13:17" ht="20.100000000000001" customHeight="1">
      <c r="M341" s="119"/>
      <c r="N341" s="119"/>
      <c r="O341" s="119"/>
      <c r="P341" s="180"/>
      <c r="Q341" s="213"/>
    </row>
    <row r="342" spans="13:17" ht="20.100000000000001" customHeight="1">
      <c r="M342" s="119"/>
      <c r="N342" s="119"/>
      <c r="O342" s="119"/>
      <c r="P342" s="180"/>
      <c r="Q342" s="213"/>
    </row>
    <row r="343" spans="13:17" ht="20.100000000000001" customHeight="1">
      <c r="M343" s="119"/>
      <c r="N343" s="119"/>
      <c r="O343" s="119"/>
      <c r="P343" s="180"/>
      <c r="Q343" s="213"/>
    </row>
    <row r="344" spans="13:17" ht="20.100000000000001" customHeight="1">
      <c r="M344" s="119"/>
      <c r="N344" s="119"/>
      <c r="O344" s="119"/>
      <c r="P344" s="180"/>
      <c r="Q344" s="213"/>
    </row>
    <row r="345" spans="13:17" ht="20.100000000000001" customHeight="1">
      <c r="M345" s="119"/>
      <c r="N345" s="119"/>
      <c r="O345" s="119"/>
      <c r="P345" s="180"/>
      <c r="Q345" s="213"/>
    </row>
    <row r="346" spans="13:17" ht="20.100000000000001" customHeight="1">
      <c r="M346" s="119"/>
      <c r="N346" s="119"/>
      <c r="O346" s="119"/>
      <c r="P346" s="180"/>
      <c r="Q346" s="213"/>
    </row>
    <row r="347" spans="13:17" ht="20.100000000000001" customHeight="1">
      <c r="M347" s="119"/>
      <c r="N347" s="119"/>
      <c r="O347" s="119"/>
      <c r="P347" s="180"/>
      <c r="Q347" s="213"/>
    </row>
    <row r="348" spans="13:17" ht="20.100000000000001" customHeight="1">
      <c r="M348" s="119"/>
      <c r="N348" s="119"/>
      <c r="O348" s="119"/>
      <c r="P348" s="180"/>
      <c r="Q348" s="213"/>
    </row>
    <row r="349" spans="13:17" ht="20.100000000000001" customHeight="1">
      <c r="M349" s="119"/>
      <c r="N349" s="119"/>
      <c r="O349" s="119"/>
      <c r="P349" s="180"/>
      <c r="Q349" s="213"/>
    </row>
    <row r="350" spans="13:17" ht="20.100000000000001" customHeight="1">
      <c r="M350" s="119"/>
      <c r="N350" s="119"/>
      <c r="O350" s="119"/>
      <c r="P350" s="180"/>
      <c r="Q350" s="213"/>
    </row>
    <row r="351" spans="13:17" ht="20.100000000000001" customHeight="1">
      <c r="M351" s="119"/>
      <c r="N351" s="119"/>
      <c r="O351" s="119"/>
      <c r="P351" s="180"/>
      <c r="Q351" s="213"/>
    </row>
    <row r="352" spans="13:17" ht="20.100000000000001" customHeight="1">
      <c r="M352" s="119"/>
      <c r="N352" s="119"/>
      <c r="O352" s="119"/>
      <c r="P352" s="180"/>
      <c r="Q352" s="213"/>
    </row>
    <row r="353" spans="13:17" ht="20.100000000000001" customHeight="1">
      <c r="M353" s="119"/>
      <c r="N353" s="119"/>
      <c r="O353" s="119"/>
      <c r="P353" s="180"/>
      <c r="Q353" s="213"/>
    </row>
    <row r="354" spans="13:17" ht="20.100000000000001" customHeight="1">
      <c r="M354" s="119"/>
      <c r="N354" s="119"/>
      <c r="O354" s="119"/>
      <c r="P354" s="180"/>
      <c r="Q354" s="213"/>
    </row>
    <row r="355" spans="13:17" ht="20.100000000000001" customHeight="1">
      <c r="M355" s="119"/>
      <c r="N355" s="119"/>
      <c r="O355" s="119"/>
      <c r="P355" s="180"/>
      <c r="Q355" s="213"/>
    </row>
    <row r="356" spans="13:17" ht="20.100000000000001" customHeight="1">
      <c r="M356" s="119"/>
      <c r="N356" s="119"/>
      <c r="O356" s="119"/>
      <c r="P356" s="180"/>
      <c r="Q356" s="213"/>
    </row>
    <row r="357" spans="13:17" ht="20.100000000000001" customHeight="1">
      <c r="M357" s="119"/>
      <c r="N357" s="119"/>
      <c r="O357" s="119"/>
      <c r="P357" s="180"/>
      <c r="Q357" s="213"/>
    </row>
    <row r="358" spans="13:17" ht="20.100000000000001" customHeight="1">
      <c r="M358" s="119"/>
      <c r="N358" s="119"/>
      <c r="O358" s="119"/>
      <c r="P358" s="180"/>
      <c r="Q358" s="213"/>
    </row>
    <row r="359" spans="13:17" ht="20.100000000000001" customHeight="1">
      <c r="M359" s="119"/>
      <c r="N359" s="119"/>
      <c r="O359" s="119"/>
      <c r="P359" s="180"/>
      <c r="Q359" s="213"/>
    </row>
    <row r="360" spans="13:17" ht="20.100000000000001" customHeight="1">
      <c r="M360" s="119"/>
      <c r="N360" s="119"/>
      <c r="O360" s="119"/>
      <c r="P360" s="180"/>
      <c r="Q360" s="213"/>
    </row>
    <row r="361" spans="13:17" ht="20.100000000000001" customHeight="1">
      <c r="M361" s="119"/>
      <c r="N361" s="119"/>
      <c r="O361" s="119"/>
      <c r="P361" s="180"/>
      <c r="Q361" s="213"/>
    </row>
    <row r="362" spans="13:17" ht="20.100000000000001" customHeight="1">
      <c r="M362" s="119"/>
      <c r="N362" s="119"/>
      <c r="O362" s="119"/>
      <c r="P362" s="180"/>
      <c r="Q362" s="213"/>
    </row>
    <row r="363" spans="13:17" ht="20.100000000000001" customHeight="1">
      <c r="M363" s="119"/>
      <c r="N363" s="119"/>
      <c r="O363" s="119"/>
      <c r="P363" s="180"/>
      <c r="Q363" s="213"/>
    </row>
    <row r="364" spans="13:17" ht="20.100000000000001" customHeight="1">
      <c r="M364" s="119"/>
      <c r="N364" s="119"/>
      <c r="O364" s="119"/>
      <c r="P364" s="180"/>
      <c r="Q364" s="213"/>
    </row>
    <row r="365" spans="13:17" ht="20.100000000000001" customHeight="1">
      <c r="M365" s="119"/>
      <c r="N365" s="119"/>
      <c r="O365" s="119"/>
      <c r="P365" s="180"/>
      <c r="Q365" s="213"/>
    </row>
    <row r="366" spans="13:17" ht="20.100000000000001" customHeight="1">
      <c r="M366" s="119"/>
      <c r="N366" s="119"/>
      <c r="O366" s="119"/>
      <c r="P366" s="180"/>
      <c r="Q366" s="213"/>
    </row>
    <row r="367" spans="13:17" ht="20.100000000000001" customHeight="1">
      <c r="M367" s="119"/>
      <c r="N367" s="119"/>
      <c r="O367" s="119"/>
      <c r="P367" s="180"/>
      <c r="Q367" s="213"/>
    </row>
    <row r="368" spans="13:17" ht="20.100000000000001" customHeight="1">
      <c r="M368" s="119"/>
      <c r="N368" s="119"/>
      <c r="O368" s="119"/>
      <c r="P368" s="180"/>
      <c r="Q368" s="213"/>
    </row>
    <row r="369" spans="13:17" ht="20.100000000000001" customHeight="1">
      <c r="M369" s="119"/>
      <c r="N369" s="119"/>
      <c r="O369" s="119"/>
      <c r="P369" s="180"/>
      <c r="Q369" s="213"/>
    </row>
    <row r="370" spans="13:17" ht="20.100000000000001" customHeight="1">
      <c r="M370" s="119"/>
      <c r="N370" s="119"/>
      <c r="O370" s="119"/>
      <c r="P370" s="180"/>
      <c r="Q370" s="213"/>
    </row>
    <row r="371" spans="13:17" ht="20.100000000000001" customHeight="1">
      <c r="M371" s="119"/>
      <c r="N371" s="119"/>
      <c r="O371" s="119"/>
      <c r="P371" s="180"/>
      <c r="Q371" s="213"/>
    </row>
    <row r="372" spans="13:17" ht="20.100000000000001" customHeight="1">
      <c r="M372" s="119"/>
      <c r="N372" s="119"/>
      <c r="O372" s="119"/>
      <c r="P372" s="180"/>
      <c r="Q372" s="213"/>
    </row>
    <row r="373" spans="13:17" ht="20.100000000000001" customHeight="1">
      <c r="M373" s="119"/>
      <c r="N373" s="119"/>
      <c r="O373" s="119"/>
      <c r="P373" s="180"/>
      <c r="Q373" s="213"/>
    </row>
    <row r="374" spans="13:17" ht="20.100000000000001" customHeight="1">
      <c r="M374" s="119"/>
      <c r="N374" s="119"/>
      <c r="O374" s="119"/>
      <c r="P374" s="180"/>
      <c r="Q374" s="213"/>
    </row>
    <row r="375" spans="13:17" ht="20.100000000000001" customHeight="1">
      <c r="M375" s="119"/>
      <c r="N375" s="119"/>
      <c r="O375" s="119"/>
      <c r="P375" s="180"/>
      <c r="Q375" s="213"/>
    </row>
    <row r="376" spans="13:17" ht="20.100000000000001" customHeight="1">
      <c r="M376" s="119"/>
      <c r="N376" s="119"/>
      <c r="O376" s="119"/>
      <c r="P376" s="180"/>
      <c r="Q376" s="213"/>
    </row>
    <row r="377" spans="13:17" ht="20.100000000000001" customHeight="1">
      <c r="M377" s="119"/>
      <c r="N377" s="119"/>
      <c r="O377" s="119"/>
      <c r="P377" s="180"/>
      <c r="Q377" s="213"/>
    </row>
    <row r="378" spans="13:17" ht="20.100000000000001" customHeight="1">
      <c r="M378" s="119"/>
      <c r="N378" s="119"/>
      <c r="O378" s="119"/>
      <c r="P378" s="180"/>
      <c r="Q378" s="213"/>
    </row>
    <row r="379" spans="13:17" ht="20.100000000000001" customHeight="1">
      <c r="M379" s="119"/>
      <c r="N379" s="119"/>
      <c r="O379" s="119"/>
      <c r="P379" s="180"/>
      <c r="Q379" s="213"/>
    </row>
    <row r="380" spans="13:17" ht="20.100000000000001" customHeight="1">
      <c r="M380" s="119"/>
      <c r="N380" s="119"/>
      <c r="O380" s="119"/>
      <c r="P380" s="180"/>
      <c r="Q380" s="213"/>
    </row>
    <row r="381" spans="13:17" ht="20.100000000000001" customHeight="1">
      <c r="M381" s="119"/>
      <c r="N381" s="119"/>
      <c r="O381" s="119"/>
      <c r="P381" s="180"/>
      <c r="Q381" s="213"/>
    </row>
    <row r="382" spans="13:17" ht="20.100000000000001" customHeight="1">
      <c r="M382" s="119"/>
      <c r="N382" s="119"/>
      <c r="O382" s="119"/>
      <c r="P382" s="180"/>
      <c r="Q382" s="213"/>
    </row>
    <row r="383" spans="13:17" ht="20.100000000000001" customHeight="1">
      <c r="M383" s="119"/>
      <c r="N383" s="119"/>
      <c r="O383" s="119"/>
      <c r="P383" s="180"/>
      <c r="Q383" s="213"/>
    </row>
    <row r="384" spans="13:17" ht="20.100000000000001" customHeight="1">
      <c r="M384" s="119"/>
      <c r="N384" s="119"/>
      <c r="O384" s="119"/>
      <c r="P384" s="180"/>
      <c r="Q384" s="213"/>
    </row>
    <row r="385" spans="13:17" ht="20.100000000000001" customHeight="1">
      <c r="M385" s="119"/>
      <c r="N385" s="119"/>
      <c r="O385" s="119"/>
      <c r="P385" s="180"/>
      <c r="Q385" s="213"/>
    </row>
    <row r="386" spans="13:17" ht="20.100000000000001" customHeight="1">
      <c r="M386" s="119"/>
      <c r="N386" s="119"/>
      <c r="O386" s="119"/>
      <c r="P386" s="180"/>
      <c r="Q386" s="213"/>
    </row>
    <row r="387" spans="13:17" ht="20.100000000000001" customHeight="1">
      <c r="M387" s="119"/>
      <c r="N387" s="119"/>
      <c r="O387" s="119"/>
      <c r="P387" s="180"/>
      <c r="Q387" s="213"/>
    </row>
    <row r="388" spans="13:17" ht="20.100000000000001" customHeight="1">
      <c r="M388" s="119"/>
      <c r="N388" s="119"/>
      <c r="O388" s="119"/>
      <c r="P388" s="180"/>
      <c r="Q388" s="213"/>
    </row>
    <row r="389" spans="13:17" ht="20.100000000000001" customHeight="1">
      <c r="M389" s="119"/>
      <c r="N389" s="119"/>
      <c r="O389" s="119"/>
      <c r="P389" s="180"/>
      <c r="Q389" s="213"/>
    </row>
    <row r="390" spans="13:17" ht="20.100000000000001" customHeight="1">
      <c r="M390" s="119"/>
      <c r="N390" s="119"/>
      <c r="O390" s="119"/>
      <c r="P390" s="180"/>
      <c r="Q390" s="213"/>
    </row>
    <row r="391" spans="13:17" ht="20.100000000000001" customHeight="1">
      <c r="M391" s="119"/>
      <c r="N391" s="119"/>
      <c r="O391" s="119"/>
      <c r="P391" s="180"/>
      <c r="Q391" s="213"/>
    </row>
    <row r="392" spans="13:17" ht="20.100000000000001" customHeight="1">
      <c r="M392" s="119"/>
      <c r="N392" s="119"/>
      <c r="O392" s="119"/>
      <c r="P392" s="180"/>
      <c r="Q392" s="213"/>
    </row>
    <row r="393" spans="13:17" ht="20.100000000000001" customHeight="1">
      <c r="M393" s="119"/>
      <c r="N393" s="119"/>
      <c r="O393" s="119"/>
      <c r="P393" s="180"/>
      <c r="Q393" s="213"/>
    </row>
    <row r="394" spans="13:17" ht="20.100000000000001" customHeight="1">
      <c r="M394" s="119"/>
      <c r="N394" s="119"/>
      <c r="O394" s="119"/>
      <c r="P394" s="180"/>
      <c r="Q394" s="213"/>
    </row>
    <row r="395" spans="13:17" ht="20.100000000000001" customHeight="1">
      <c r="M395" s="119"/>
      <c r="N395" s="119"/>
      <c r="O395" s="119"/>
      <c r="P395" s="180"/>
      <c r="Q395" s="213"/>
    </row>
    <row r="396" spans="13:17" ht="20.100000000000001" customHeight="1">
      <c r="M396" s="119"/>
      <c r="N396" s="119"/>
      <c r="O396" s="119"/>
      <c r="P396" s="180"/>
      <c r="Q396" s="213"/>
    </row>
    <row r="397" spans="13:17" ht="20.100000000000001" customHeight="1">
      <c r="M397" s="119"/>
      <c r="N397" s="119"/>
      <c r="O397" s="119"/>
      <c r="P397" s="180"/>
      <c r="Q397" s="213"/>
    </row>
    <row r="398" spans="13:17" ht="20.100000000000001" customHeight="1">
      <c r="M398" s="119"/>
      <c r="N398" s="119"/>
      <c r="O398" s="119"/>
      <c r="P398" s="180"/>
      <c r="Q398" s="213"/>
    </row>
    <row r="399" spans="13:17" ht="20.100000000000001" customHeight="1">
      <c r="M399" s="119"/>
      <c r="N399" s="119"/>
      <c r="O399" s="119"/>
      <c r="P399" s="180"/>
      <c r="Q399" s="213"/>
    </row>
    <row r="400" spans="13:17" ht="20.100000000000001" customHeight="1">
      <c r="M400" s="119"/>
      <c r="N400" s="119"/>
      <c r="O400" s="119"/>
      <c r="P400" s="180"/>
      <c r="Q400" s="213"/>
    </row>
    <row r="401" spans="13:17" ht="20.100000000000001" customHeight="1">
      <c r="M401" s="119"/>
      <c r="N401" s="119"/>
      <c r="O401" s="119"/>
      <c r="P401" s="180"/>
      <c r="Q401" s="213"/>
    </row>
    <row r="402" spans="13:17" ht="20.100000000000001" customHeight="1">
      <c r="M402" s="119"/>
      <c r="N402" s="119"/>
      <c r="O402" s="119"/>
      <c r="P402" s="180"/>
      <c r="Q402" s="213"/>
    </row>
    <row r="403" spans="13:17" ht="20.100000000000001" customHeight="1">
      <c r="M403" s="119"/>
      <c r="N403" s="119"/>
      <c r="O403" s="119"/>
      <c r="P403" s="180"/>
      <c r="Q403" s="213"/>
    </row>
    <row r="404" spans="13:17" ht="20.100000000000001" customHeight="1">
      <c r="M404" s="119"/>
      <c r="N404" s="119"/>
      <c r="O404" s="119"/>
      <c r="P404" s="180"/>
      <c r="Q404" s="213"/>
    </row>
    <row r="405" spans="13:17" ht="20.100000000000001" customHeight="1">
      <c r="M405" s="119"/>
      <c r="N405" s="119"/>
      <c r="O405" s="119"/>
      <c r="P405" s="180"/>
      <c r="Q405" s="213"/>
    </row>
    <row r="406" spans="13:17" ht="20.100000000000001" customHeight="1">
      <c r="M406" s="119"/>
      <c r="N406" s="119"/>
      <c r="O406" s="119"/>
      <c r="P406" s="180"/>
      <c r="Q406" s="213"/>
    </row>
    <row r="407" spans="13:17" ht="20.100000000000001" customHeight="1">
      <c r="M407" s="119"/>
      <c r="N407" s="119"/>
      <c r="O407" s="119"/>
      <c r="P407" s="180"/>
      <c r="Q407" s="213"/>
    </row>
    <row r="408" spans="13:17" ht="20.100000000000001" customHeight="1">
      <c r="M408" s="119"/>
      <c r="N408" s="119"/>
      <c r="O408" s="119"/>
      <c r="P408" s="180"/>
      <c r="Q408" s="213"/>
    </row>
    <row r="409" spans="13:17" ht="20.100000000000001" customHeight="1">
      <c r="M409" s="119"/>
      <c r="N409" s="119"/>
      <c r="O409" s="119"/>
      <c r="P409" s="180"/>
      <c r="Q409" s="213"/>
    </row>
    <row r="410" spans="13:17" ht="20.100000000000001" customHeight="1">
      <c r="M410" s="119"/>
      <c r="N410" s="119"/>
      <c r="O410" s="119"/>
      <c r="P410" s="180"/>
      <c r="Q410" s="213"/>
    </row>
    <row r="411" spans="13:17" ht="20.100000000000001" customHeight="1">
      <c r="M411" s="119"/>
      <c r="N411" s="119"/>
      <c r="O411" s="119"/>
      <c r="P411" s="180"/>
      <c r="Q411" s="213"/>
    </row>
    <row r="412" spans="13:17" ht="20.100000000000001" customHeight="1">
      <c r="M412" s="119"/>
      <c r="N412" s="119"/>
      <c r="O412" s="119"/>
      <c r="P412" s="180"/>
      <c r="Q412" s="213"/>
    </row>
    <row r="413" spans="13:17" ht="20.100000000000001" customHeight="1">
      <c r="M413" s="119"/>
      <c r="N413" s="119"/>
      <c r="O413" s="119"/>
      <c r="P413" s="180"/>
      <c r="Q413" s="213"/>
    </row>
    <row r="414" spans="13:17" ht="20.100000000000001" customHeight="1">
      <c r="M414" s="119"/>
      <c r="N414" s="119"/>
      <c r="O414" s="119"/>
      <c r="P414" s="180"/>
      <c r="Q414" s="213"/>
    </row>
    <row r="415" spans="13:17" ht="20.100000000000001" customHeight="1">
      <c r="M415" s="119"/>
      <c r="N415" s="119"/>
      <c r="O415" s="119"/>
      <c r="P415" s="180"/>
      <c r="Q415" s="213"/>
    </row>
    <row r="416" spans="13:17" ht="20.100000000000001" customHeight="1">
      <c r="M416" s="119"/>
      <c r="N416" s="119"/>
      <c r="O416" s="119"/>
      <c r="P416" s="180"/>
      <c r="Q416" s="213"/>
    </row>
    <row r="417" spans="13:17" ht="20.100000000000001" customHeight="1">
      <c r="M417" s="119"/>
      <c r="N417" s="119"/>
      <c r="O417" s="119"/>
      <c r="P417" s="180"/>
      <c r="Q417" s="213"/>
    </row>
    <row r="418" spans="13:17" ht="20.100000000000001" customHeight="1">
      <c r="M418" s="119"/>
      <c r="N418" s="119"/>
      <c r="O418" s="119"/>
      <c r="P418" s="180"/>
      <c r="Q418" s="213"/>
    </row>
    <row r="419" spans="13:17" ht="20.100000000000001" customHeight="1">
      <c r="M419" s="119"/>
      <c r="N419" s="119"/>
      <c r="O419" s="119"/>
      <c r="P419" s="180"/>
      <c r="Q419" s="213"/>
    </row>
    <row r="420" spans="13:17" ht="20.100000000000001" customHeight="1">
      <c r="M420" s="119"/>
      <c r="N420" s="119"/>
      <c r="O420" s="119"/>
      <c r="P420" s="180"/>
      <c r="Q420" s="213"/>
    </row>
    <row r="421" spans="13:17" ht="20.100000000000001" customHeight="1">
      <c r="M421" s="119"/>
      <c r="N421" s="119"/>
      <c r="O421" s="119"/>
      <c r="P421" s="180"/>
      <c r="Q421" s="213"/>
    </row>
    <row r="422" spans="13:17" ht="20.100000000000001" customHeight="1">
      <c r="M422" s="119"/>
      <c r="N422" s="119"/>
      <c r="O422" s="119"/>
      <c r="P422" s="180"/>
      <c r="Q422" s="213"/>
    </row>
    <row r="423" spans="13:17" ht="20.100000000000001" customHeight="1">
      <c r="M423" s="119"/>
      <c r="N423" s="119"/>
      <c r="O423" s="119"/>
      <c r="P423" s="180"/>
      <c r="Q423" s="213"/>
    </row>
    <row r="424" spans="13:17" ht="20.100000000000001" customHeight="1">
      <c r="M424" s="119"/>
      <c r="N424" s="119"/>
      <c r="O424" s="119"/>
      <c r="Q424" s="213"/>
    </row>
    <row r="425" spans="13:17" ht="20.100000000000001" customHeight="1">
      <c r="M425" s="119"/>
      <c r="N425" s="119"/>
      <c r="O425" s="119"/>
      <c r="Q425" s="213"/>
    </row>
    <row r="426" spans="13:17" ht="20.100000000000001" customHeight="1">
      <c r="M426" s="119"/>
      <c r="N426" s="119"/>
      <c r="O426" s="119"/>
      <c r="Q426" s="213"/>
    </row>
    <row r="427" spans="13:17" ht="20.100000000000001" customHeight="1">
      <c r="M427" s="119"/>
      <c r="N427" s="119"/>
      <c r="O427" s="119"/>
      <c r="Q427" s="213"/>
    </row>
    <row r="428" spans="13:17" ht="20.100000000000001" customHeight="1">
      <c r="M428" s="119"/>
      <c r="N428" s="119"/>
      <c r="O428" s="119"/>
      <c r="Q428" s="213"/>
    </row>
    <row r="429" spans="13:17" ht="20.100000000000001" customHeight="1">
      <c r="M429" s="119"/>
      <c r="N429" s="119"/>
      <c r="O429" s="119"/>
      <c r="Q429" s="213"/>
    </row>
    <row r="430" spans="13:17" ht="20.100000000000001" customHeight="1">
      <c r="M430" s="119"/>
      <c r="N430" s="119"/>
      <c r="O430" s="119"/>
      <c r="Q430" s="213"/>
    </row>
    <row r="431" spans="13:17" ht="20.100000000000001" customHeight="1">
      <c r="M431" s="119"/>
      <c r="N431" s="119"/>
      <c r="O431" s="119"/>
      <c r="Q431" s="213"/>
    </row>
    <row r="432" spans="13:17" ht="20.100000000000001" customHeight="1">
      <c r="M432" s="119"/>
      <c r="N432" s="119"/>
      <c r="O432" s="119"/>
      <c r="Q432" s="213"/>
    </row>
    <row r="433" spans="13:17" ht="20.100000000000001" customHeight="1">
      <c r="M433" s="119"/>
      <c r="N433" s="119"/>
      <c r="O433" s="119"/>
      <c r="Q433" s="213"/>
    </row>
    <row r="434" spans="13:17" ht="20.100000000000001" customHeight="1">
      <c r="M434" s="119"/>
      <c r="N434" s="119"/>
      <c r="O434" s="119"/>
      <c r="Q434" s="213"/>
    </row>
    <row r="435" spans="13:17" ht="20.100000000000001" customHeight="1">
      <c r="M435" s="119"/>
      <c r="N435" s="119"/>
      <c r="O435" s="119"/>
      <c r="Q435" s="213"/>
    </row>
    <row r="436" spans="13:17" ht="20.100000000000001" customHeight="1">
      <c r="M436" s="119"/>
      <c r="N436" s="119"/>
      <c r="O436" s="119"/>
      <c r="Q436" s="213"/>
    </row>
    <row r="437" spans="13:17" ht="20.100000000000001" customHeight="1">
      <c r="M437" s="119"/>
      <c r="N437" s="119"/>
      <c r="O437" s="119"/>
      <c r="Q437" s="213"/>
    </row>
    <row r="438" spans="13:17" ht="20.100000000000001" customHeight="1">
      <c r="M438" s="119"/>
      <c r="N438" s="119"/>
      <c r="O438" s="119"/>
      <c r="Q438" s="213"/>
    </row>
    <row r="439" spans="13:17" ht="20.100000000000001" customHeight="1">
      <c r="M439" s="119"/>
      <c r="N439" s="119"/>
      <c r="O439" s="119"/>
      <c r="Q439" s="213"/>
    </row>
    <row r="440" spans="13:17" ht="20.100000000000001" customHeight="1">
      <c r="M440" s="119"/>
      <c r="N440" s="119"/>
      <c r="O440" s="119"/>
      <c r="Q440" s="213"/>
    </row>
    <row r="441" spans="13:17" ht="20.100000000000001" customHeight="1">
      <c r="M441" s="119"/>
      <c r="N441" s="119"/>
      <c r="O441" s="119"/>
      <c r="Q441" s="213"/>
    </row>
    <row r="442" spans="13:17" ht="20.100000000000001" customHeight="1">
      <c r="M442" s="119"/>
      <c r="N442" s="119"/>
      <c r="O442" s="119"/>
      <c r="Q442" s="213"/>
    </row>
    <row r="443" spans="13:17" ht="20.100000000000001" customHeight="1">
      <c r="M443" s="119"/>
      <c r="N443" s="119"/>
      <c r="O443" s="119"/>
      <c r="Q443" s="213"/>
    </row>
    <row r="444" spans="13:17" ht="20.100000000000001" customHeight="1">
      <c r="M444" s="119"/>
      <c r="N444" s="119"/>
      <c r="O444" s="119"/>
      <c r="Q444" s="213"/>
    </row>
    <row r="445" spans="13:17" ht="20.100000000000001" customHeight="1">
      <c r="M445" s="119"/>
      <c r="N445" s="119"/>
      <c r="O445" s="119"/>
      <c r="Q445" s="213"/>
    </row>
    <row r="446" spans="13:17" ht="20.100000000000001" customHeight="1">
      <c r="M446" s="119"/>
      <c r="N446" s="119"/>
      <c r="O446" s="119"/>
      <c r="Q446" s="213"/>
    </row>
    <row r="447" spans="13:17" ht="20.100000000000001" customHeight="1">
      <c r="M447" s="119"/>
      <c r="N447" s="119"/>
      <c r="O447" s="119"/>
      <c r="Q447" s="213"/>
    </row>
    <row r="448" spans="13:17" ht="20.100000000000001" customHeight="1">
      <c r="M448" s="119"/>
      <c r="N448" s="119"/>
      <c r="O448" s="119"/>
      <c r="Q448" s="213"/>
    </row>
    <row r="449" spans="13:17" ht="20.100000000000001" customHeight="1">
      <c r="M449" s="119"/>
      <c r="N449" s="119"/>
      <c r="O449" s="119"/>
      <c r="Q449" s="213"/>
    </row>
    <row r="450" spans="13:17" ht="20.100000000000001" customHeight="1">
      <c r="M450" s="119"/>
      <c r="N450" s="119"/>
      <c r="O450" s="119"/>
      <c r="Q450" s="213"/>
    </row>
    <row r="451" spans="13:17" ht="20.100000000000001" customHeight="1">
      <c r="M451" s="119"/>
      <c r="N451" s="119"/>
      <c r="O451" s="119"/>
      <c r="Q451" s="213"/>
    </row>
    <row r="452" spans="13:17" ht="20.100000000000001" customHeight="1">
      <c r="M452" s="119"/>
      <c r="N452" s="119"/>
      <c r="O452" s="119"/>
      <c r="Q452" s="213"/>
    </row>
    <row r="453" spans="13:17" ht="20.100000000000001" customHeight="1">
      <c r="M453" s="119"/>
      <c r="N453" s="119"/>
      <c r="O453" s="119"/>
      <c r="Q453" s="213"/>
    </row>
    <row r="454" spans="13:17" ht="20.100000000000001" customHeight="1">
      <c r="M454" s="119"/>
      <c r="N454" s="119"/>
      <c r="O454" s="119"/>
      <c r="Q454" s="213"/>
    </row>
    <row r="455" spans="13:17" ht="20.100000000000001" customHeight="1">
      <c r="M455" s="119"/>
      <c r="N455" s="119"/>
      <c r="O455" s="119"/>
      <c r="Q455" s="213"/>
    </row>
    <row r="456" spans="13:17" ht="20.100000000000001" customHeight="1">
      <c r="M456" s="119"/>
      <c r="N456" s="119"/>
      <c r="O456" s="119"/>
      <c r="Q456" s="213"/>
    </row>
    <row r="457" spans="13:17" ht="20.100000000000001" customHeight="1">
      <c r="M457" s="119"/>
      <c r="N457" s="119"/>
      <c r="O457" s="119"/>
      <c r="Q457" s="213"/>
    </row>
    <row r="458" spans="13:17" ht="20.100000000000001" customHeight="1">
      <c r="M458" s="119"/>
      <c r="N458" s="119"/>
      <c r="O458" s="119"/>
      <c r="Q458" s="213"/>
    </row>
    <row r="459" spans="13:17" ht="20.100000000000001" customHeight="1">
      <c r="M459" s="119"/>
      <c r="N459" s="119"/>
      <c r="O459" s="119"/>
      <c r="Q459" s="213"/>
    </row>
    <row r="460" spans="13:17" ht="20.100000000000001" customHeight="1">
      <c r="M460" s="119"/>
      <c r="N460" s="119"/>
      <c r="O460" s="119"/>
      <c r="Q460" s="213"/>
    </row>
    <row r="461" spans="13:17" ht="20.100000000000001" customHeight="1">
      <c r="M461" s="119"/>
      <c r="N461" s="119"/>
      <c r="O461" s="119"/>
      <c r="Q461" s="213"/>
    </row>
    <row r="462" spans="13:17" ht="20.100000000000001" customHeight="1">
      <c r="M462" s="119"/>
      <c r="N462" s="119"/>
      <c r="O462" s="119"/>
      <c r="Q462" s="213"/>
    </row>
    <row r="463" spans="13:17" ht="20.100000000000001" customHeight="1">
      <c r="M463" s="119"/>
      <c r="N463" s="119"/>
      <c r="O463" s="119"/>
      <c r="Q463" s="213"/>
    </row>
    <row r="464" spans="13:17" ht="20.100000000000001" customHeight="1">
      <c r="M464" s="119"/>
      <c r="N464" s="119"/>
      <c r="O464" s="119"/>
      <c r="Q464" s="213"/>
    </row>
    <row r="465" spans="13:17" ht="20.100000000000001" customHeight="1">
      <c r="M465" s="119"/>
      <c r="N465" s="119"/>
      <c r="O465" s="119"/>
      <c r="Q465" s="213"/>
    </row>
    <row r="466" spans="13:17" ht="20.100000000000001" customHeight="1">
      <c r="M466" s="119"/>
      <c r="N466" s="119"/>
      <c r="O466" s="119"/>
      <c r="Q466" s="213"/>
    </row>
    <row r="467" spans="13:17" ht="20.100000000000001" customHeight="1">
      <c r="M467" s="119"/>
      <c r="N467" s="119"/>
      <c r="O467" s="119"/>
      <c r="Q467" s="213"/>
    </row>
    <row r="468" spans="13:17" ht="20.100000000000001" customHeight="1">
      <c r="M468" s="119"/>
      <c r="N468" s="119"/>
      <c r="O468" s="119"/>
      <c r="Q468" s="213"/>
    </row>
    <row r="469" spans="13:17" ht="20.100000000000001" customHeight="1">
      <c r="M469" s="119"/>
      <c r="N469" s="119"/>
      <c r="O469" s="119"/>
      <c r="Q469" s="213"/>
    </row>
    <row r="470" spans="13:17" ht="20.100000000000001" customHeight="1">
      <c r="M470" s="119"/>
      <c r="N470" s="119"/>
      <c r="O470" s="119"/>
      <c r="Q470" s="213"/>
    </row>
    <row r="471" spans="13:17" ht="20.100000000000001" customHeight="1">
      <c r="M471" s="119"/>
      <c r="N471" s="119"/>
      <c r="O471" s="119"/>
      <c r="Q471" s="213"/>
    </row>
    <row r="472" spans="13:17" ht="20.100000000000001" customHeight="1">
      <c r="M472" s="119"/>
      <c r="N472" s="119"/>
      <c r="O472" s="119"/>
      <c r="Q472" s="213"/>
    </row>
    <row r="473" spans="13:17" ht="20.100000000000001" customHeight="1">
      <c r="M473" s="119"/>
      <c r="N473" s="119"/>
      <c r="O473" s="119"/>
      <c r="Q473" s="213"/>
    </row>
    <row r="474" spans="13:17" ht="20.100000000000001" customHeight="1">
      <c r="M474" s="119"/>
      <c r="N474" s="119"/>
      <c r="O474" s="119"/>
      <c r="Q474" s="213"/>
    </row>
    <row r="475" spans="13:17" ht="20.100000000000001" customHeight="1">
      <c r="M475" s="119"/>
      <c r="N475" s="119"/>
      <c r="O475" s="119"/>
      <c r="Q475" s="213"/>
    </row>
    <row r="476" spans="13:17" ht="20.100000000000001" customHeight="1">
      <c r="M476" s="119"/>
      <c r="N476" s="119"/>
      <c r="O476" s="119"/>
      <c r="Q476" s="213"/>
    </row>
    <row r="477" spans="13:17" ht="20.100000000000001" customHeight="1">
      <c r="M477" s="119"/>
      <c r="N477" s="119"/>
      <c r="O477" s="119"/>
      <c r="Q477" s="213"/>
    </row>
    <row r="478" spans="13:17" ht="20.100000000000001" customHeight="1">
      <c r="M478" s="119"/>
      <c r="N478" s="119"/>
      <c r="O478" s="119"/>
      <c r="Q478" s="213"/>
    </row>
    <row r="479" spans="13:17" ht="20.100000000000001" customHeight="1">
      <c r="M479" s="119"/>
      <c r="N479" s="119"/>
      <c r="O479" s="119"/>
      <c r="Q479" s="213"/>
    </row>
    <row r="480" spans="13:17" ht="20.100000000000001" customHeight="1">
      <c r="M480" s="119"/>
      <c r="N480" s="119"/>
      <c r="O480" s="119"/>
      <c r="Q480" s="213"/>
    </row>
    <row r="481" spans="13:17" ht="20.100000000000001" customHeight="1">
      <c r="M481" s="119"/>
      <c r="N481" s="119"/>
      <c r="O481" s="119"/>
      <c r="Q481" s="213"/>
    </row>
    <row r="482" spans="13:17" ht="20.100000000000001" customHeight="1">
      <c r="M482" s="119"/>
      <c r="N482" s="119"/>
      <c r="O482" s="119"/>
      <c r="Q482" s="213"/>
    </row>
    <row r="483" spans="13:17" ht="20.100000000000001" customHeight="1">
      <c r="M483" s="119"/>
      <c r="N483" s="119"/>
      <c r="O483" s="119"/>
      <c r="Q483" s="213"/>
    </row>
    <row r="484" spans="13:17" ht="20.100000000000001" customHeight="1">
      <c r="M484" s="119"/>
      <c r="N484" s="119"/>
      <c r="O484" s="119"/>
      <c r="Q484" s="213"/>
    </row>
    <row r="485" spans="13:17" ht="20.100000000000001" customHeight="1">
      <c r="M485" s="119"/>
      <c r="N485" s="119"/>
      <c r="O485" s="119"/>
      <c r="Q485" s="213"/>
    </row>
    <row r="486" spans="13:17" ht="20.100000000000001" customHeight="1">
      <c r="M486" s="119"/>
      <c r="N486" s="119"/>
      <c r="O486" s="119"/>
      <c r="Q486" s="213"/>
    </row>
    <row r="487" spans="13:17" ht="20.100000000000001" customHeight="1">
      <c r="M487" s="119"/>
      <c r="N487" s="119"/>
      <c r="O487" s="119"/>
      <c r="Q487" s="213"/>
    </row>
    <row r="488" spans="13:17" ht="20.100000000000001" customHeight="1">
      <c r="M488" s="119"/>
      <c r="N488" s="119"/>
      <c r="O488" s="119"/>
      <c r="Q488" s="213"/>
    </row>
    <row r="489" spans="13:17" ht="20.100000000000001" customHeight="1">
      <c r="M489" s="119"/>
      <c r="N489" s="119"/>
      <c r="O489" s="119"/>
      <c r="Q489" s="213"/>
    </row>
    <row r="490" spans="13:17" ht="20.100000000000001" customHeight="1">
      <c r="M490" s="119"/>
      <c r="N490" s="119"/>
      <c r="O490" s="119"/>
      <c r="Q490" s="213"/>
    </row>
    <row r="491" spans="13:17" ht="20.100000000000001" customHeight="1">
      <c r="M491" s="119"/>
      <c r="N491" s="119"/>
      <c r="O491" s="119"/>
      <c r="Q491" s="213"/>
    </row>
    <row r="492" spans="13:17" ht="20.100000000000001" customHeight="1">
      <c r="M492" s="119"/>
      <c r="N492" s="119"/>
      <c r="O492" s="119"/>
      <c r="Q492" s="213"/>
    </row>
    <row r="493" spans="13:17" ht="20.100000000000001" customHeight="1">
      <c r="M493" s="119"/>
      <c r="N493" s="119"/>
      <c r="O493" s="119"/>
      <c r="Q493" s="213"/>
    </row>
    <row r="494" spans="13:17" ht="20.100000000000001" customHeight="1">
      <c r="M494" s="119"/>
      <c r="N494" s="119"/>
      <c r="O494" s="119"/>
      <c r="Q494" s="213"/>
    </row>
    <row r="495" spans="13:17" ht="20.100000000000001" customHeight="1">
      <c r="M495" s="119"/>
      <c r="N495" s="119"/>
      <c r="O495" s="119"/>
      <c r="Q495" s="213"/>
    </row>
    <row r="496" spans="13:17" ht="20.100000000000001" customHeight="1">
      <c r="M496" s="119"/>
      <c r="N496" s="119"/>
      <c r="O496" s="119"/>
      <c r="Q496" s="213"/>
    </row>
    <row r="497" spans="13:17" ht="20.100000000000001" customHeight="1">
      <c r="M497" s="119"/>
      <c r="N497" s="119"/>
      <c r="O497" s="119"/>
      <c r="Q497" s="213"/>
    </row>
    <row r="498" spans="13:17" ht="20.100000000000001" customHeight="1">
      <c r="M498" s="119"/>
      <c r="N498" s="119"/>
      <c r="O498" s="119"/>
      <c r="Q498" s="213"/>
    </row>
    <row r="499" spans="13:17" ht="20.100000000000001" customHeight="1">
      <c r="M499" s="119"/>
      <c r="N499" s="119"/>
      <c r="O499" s="119"/>
      <c r="Q499" s="213"/>
    </row>
    <row r="500" spans="13:17" ht="20.100000000000001" customHeight="1">
      <c r="M500" s="119"/>
      <c r="N500" s="119"/>
      <c r="O500" s="119"/>
      <c r="Q500" s="213"/>
    </row>
    <row r="501" spans="13:17" ht="20.100000000000001" customHeight="1">
      <c r="M501" s="119"/>
      <c r="N501" s="119"/>
      <c r="O501" s="119"/>
      <c r="Q501" s="213"/>
    </row>
    <row r="502" spans="13:17" ht="20.100000000000001" customHeight="1">
      <c r="M502" s="119"/>
      <c r="N502" s="119"/>
      <c r="O502" s="119"/>
      <c r="Q502" s="213"/>
    </row>
    <row r="503" spans="13:17" ht="20.100000000000001" customHeight="1">
      <c r="M503" s="119"/>
      <c r="N503" s="119"/>
      <c r="O503" s="119"/>
      <c r="Q503" s="213"/>
    </row>
    <row r="504" spans="13:17" ht="20.100000000000001" customHeight="1">
      <c r="M504" s="119"/>
      <c r="N504" s="119"/>
      <c r="O504" s="119"/>
      <c r="Q504" s="213"/>
    </row>
    <row r="505" spans="13:17" ht="20.100000000000001" customHeight="1">
      <c r="M505" s="119"/>
      <c r="N505" s="119"/>
      <c r="O505" s="119"/>
      <c r="Q505" s="213"/>
    </row>
    <row r="506" spans="13:17" ht="20.100000000000001" customHeight="1">
      <c r="M506" s="119"/>
      <c r="N506" s="119"/>
      <c r="O506" s="119"/>
      <c r="Q506" s="213"/>
    </row>
    <row r="507" spans="13:17" ht="20.100000000000001" customHeight="1">
      <c r="M507" s="119"/>
      <c r="N507" s="119"/>
      <c r="O507" s="119"/>
      <c r="Q507" s="213"/>
    </row>
    <row r="508" spans="13:17" ht="20.100000000000001" customHeight="1">
      <c r="M508" s="119"/>
      <c r="N508" s="119"/>
      <c r="O508" s="119"/>
      <c r="Q508" s="213"/>
    </row>
    <row r="509" spans="13:17" ht="20.100000000000001" customHeight="1">
      <c r="M509" s="119"/>
      <c r="N509" s="119"/>
      <c r="O509" s="119"/>
      <c r="Q509" s="213"/>
    </row>
    <row r="510" spans="13:17" ht="20.100000000000001" customHeight="1">
      <c r="M510" s="119"/>
      <c r="N510" s="119"/>
      <c r="O510" s="119"/>
      <c r="Q510" s="213"/>
    </row>
    <row r="511" spans="13:17" ht="20.100000000000001" customHeight="1">
      <c r="M511" s="119"/>
      <c r="N511" s="119"/>
      <c r="O511" s="119"/>
      <c r="Q511" s="213"/>
    </row>
    <row r="512" spans="13:17" ht="20.100000000000001" customHeight="1">
      <c r="M512" s="119"/>
      <c r="N512" s="119"/>
      <c r="O512" s="119"/>
      <c r="Q512" s="213"/>
    </row>
    <row r="513" spans="13:17" ht="20.100000000000001" customHeight="1">
      <c r="M513" s="119"/>
      <c r="N513" s="119"/>
      <c r="O513" s="119"/>
      <c r="Q513" s="213"/>
    </row>
    <row r="514" spans="13:17" ht="20.100000000000001" customHeight="1">
      <c r="M514" s="119"/>
      <c r="N514" s="119"/>
      <c r="O514" s="119"/>
      <c r="Q514" s="213"/>
    </row>
    <row r="515" spans="13:17" ht="20.100000000000001" customHeight="1">
      <c r="M515" s="119"/>
      <c r="N515" s="119"/>
      <c r="O515" s="119"/>
      <c r="Q515" s="213"/>
    </row>
    <row r="516" spans="13:17" ht="20.100000000000001" customHeight="1">
      <c r="M516" s="119"/>
      <c r="N516" s="119"/>
      <c r="O516" s="119"/>
      <c r="Q516" s="213"/>
    </row>
    <row r="517" spans="13:17" ht="20.100000000000001" customHeight="1">
      <c r="M517" s="119"/>
      <c r="N517" s="119"/>
      <c r="O517" s="119"/>
      <c r="Q517" s="213"/>
    </row>
    <row r="518" spans="13:17" ht="20.100000000000001" customHeight="1">
      <c r="M518" s="119"/>
      <c r="N518" s="119"/>
      <c r="O518" s="119"/>
      <c r="Q518" s="213"/>
    </row>
    <row r="519" spans="13:17" ht="20.100000000000001" customHeight="1">
      <c r="M519" s="119"/>
      <c r="N519" s="119"/>
      <c r="O519" s="119"/>
      <c r="Q519" s="213"/>
    </row>
    <row r="520" spans="13:17" ht="20.100000000000001" customHeight="1">
      <c r="M520" s="119"/>
      <c r="N520" s="119"/>
      <c r="O520" s="119"/>
      <c r="Q520" s="213"/>
    </row>
    <row r="521" spans="13:17" ht="20.100000000000001" customHeight="1">
      <c r="M521" s="119"/>
      <c r="N521" s="119"/>
      <c r="O521" s="119"/>
      <c r="Q521" s="213"/>
    </row>
    <row r="522" spans="13:17" ht="20.100000000000001" customHeight="1">
      <c r="M522" s="119"/>
      <c r="N522" s="119"/>
      <c r="O522" s="119"/>
      <c r="Q522" s="213"/>
    </row>
    <row r="523" spans="13:17" ht="20.100000000000001" customHeight="1">
      <c r="M523" s="119"/>
      <c r="N523" s="119"/>
      <c r="O523" s="119"/>
      <c r="Q523" s="213"/>
    </row>
    <row r="524" spans="13:17" ht="20.100000000000001" customHeight="1">
      <c r="M524" s="119"/>
      <c r="N524" s="119"/>
      <c r="O524" s="119"/>
      <c r="Q524" s="213"/>
    </row>
    <row r="525" spans="13:17" ht="20.100000000000001" customHeight="1">
      <c r="M525" s="119"/>
      <c r="N525" s="119"/>
      <c r="O525" s="119"/>
      <c r="Q525" s="213"/>
    </row>
    <row r="526" spans="13:17" ht="20.100000000000001" customHeight="1">
      <c r="M526" s="119"/>
      <c r="N526" s="119"/>
      <c r="O526" s="119"/>
      <c r="Q526" s="213"/>
    </row>
    <row r="527" spans="13:17" ht="20.100000000000001" customHeight="1">
      <c r="M527" s="119"/>
      <c r="N527" s="119"/>
      <c r="O527" s="119"/>
      <c r="Q527" s="213"/>
    </row>
    <row r="528" spans="13:17" ht="20.100000000000001" customHeight="1">
      <c r="M528" s="119"/>
      <c r="N528" s="119"/>
      <c r="O528" s="119"/>
      <c r="Q528" s="213"/>
    </row>
    <row r="529" spans="13:17" ht="20.100000000000001" customHeight="1">
      <c r="M529" s="119"/>
      <c r="N529" s="119"/>
      <c r="O529" s="119"/>
      <c r="Q529" s="213"/>
    </row>
    <row r="530" spans="13:17" ht="20.100000000000001" customHeight="1">
      <c r="M530" s="119"/>
      <c r="N530" s="119"/>
      <c r="O530" s="119"/>
      <c r="Q530" s="213"/>
    </row>
    <row r="531" spans="13:17" ht="20.100000000000001" customHeight="1">
      <c r="M531" s="119"/>
      <c r="N531" s="119"/>
      <c r="O531" s="119"/>
      <c r="Q531" s="213"/>
    </row>
    <row r="532" spans="13:17" ht="20.100000000000001" customHeight="1">
      <c r="M532" s="119"/>
      <c r="N532" s="119"/>
      <c r="O532" s="119"/>
      <c r="Q532" s="213"/>
    </row>
    <row r="533" spans="13:17" ht="20.100000000000001" customHeight="1">
      <c r="M533" s="119"/>
      <c r="N533" s="119"/>
      <c r="O533" s="119"/>
      <c r="Q533" s="213"/>
    </row>
    <row r="534" spans="13:17" ht="20.100000000000001" customHeight="1">
      <c r="M534" s="119"/>
      <c r="N534" s="119"/>
      <c r="O534" s="119"/>
      <c r="Q534" s="213"/>
    </row>
    <row r="535" spans="13:17" ht="20.100000000000001" customHeight="1">
      <c r="M535" s="119"/>
      <c r="N535" s="119"/>
      <c r="O535" s="119"/>
      <c r="Q535" s="213"/>
    </row>
    <row r="536" spans="13:17" ht="20.100000000000001" customHeight="1">
      <c r="M536" s="119"/>
      <c r="N536" s="119"/>
      <c r="O536" s="119"/>
      <c r="Q536" s="213"/>
    </row>
    <row r="537" spans="13:17" ht="20.100000000000001" customHeight="1">
      <c r="M537" s="119"/>
      <c r="N537" s="119"/>
      <c r="O537" s="119"/>
      <c r="Q537" s="213"/>
    </row>
    <row r="538" spans="13:17" ht="20.100000000000001" customHeight="1">
      <c r="M538" s="119"/>
      <c r="N538" s="119"/>
      <c r="O538" s="119"/>
      <c r="Q538" s="213"/>
    </row>
    <row r="539" spans="13:17" ht="20.100000000000001" customHeight="1">
      <c r="M539" s="119"/>
      <c r="N539" s="119"/>
      <c r="O539" s="119"/>
      <c r="Q539" s="213"/>
    </row>
    <row r="540" spans="13:17" ht="20.100000000000001" customHeight="1">
      <c r="M540" s="119"/>
      <c r="N540" s="119"/>
      <c r="O540" s="119"/>
      <c r="Q540" s="213"/>
    </row>
    <row r="541" spans="13:17" ht="20.100000000000001" customHeight="1">
      <c r="M541" s="119"/>
      <c r="N541" s="119"/>
      <c r="O541" s="119"/>
      <c r="Q541" s="213"/>
    </row>
    <row r="542" spans="13:17" ht="20.100000000000001" customHeight="1">
      <c r="M542" s="119"/>
      <c r="N542" s="119"/>
      <c r="O542" s="119"/>
      <c r="Q542" s="213"/>
    </row>
    <row r="543" spans="13:17" ht="20.100000000000001" customHeight="1">
      <c r="M543" s="119"/>
      <c r="N543" s="119"/>
      <c r="O543" s="119"/>
      <c r="Q543" s="213"/>
    </row>
    <row r="544" spans="13:17" ht="20.100000000000001" customHeight="1">
      <c r="M544" s="119"/>
      <c r="N544" s="119"/>
      <c r="O544" s="119"/>
      <c r="Q544" s="213"/>
    </row>
    <row r="545" spans="13:17" ht="20.100000000000001" customHeight="1">
      <c r="M545" s="119"/>
      <c r="N545" s="119"/>
      <c r="O545" s="119"/>
      <c r="Q545" s="213"/>
    </row>
    <row r="546" spans="13:17" ht="20.100000000000001" customHeight="1">
      <c r="M546" s="119"/>
      <c r="N546" s="119"/>
      <c r="O546" s="119"/>
      <c r="Q546" s="213"/>
    </row>
    <row r="547" spans="13:17" ht="20.100000000000001" customHeight="1">
      <c r="M547" s="119"/>
      <c r="N547" s="119"/>
      <c r="O547" s="119"/>
      <c r="Q547" s="213"/>
    </row>
    <row r="548" spans="13:17" ht="20.100000000000001" customHeight="1">
      <c r="M548" s="119"/>
      <c r="N548" s="119"/>
      <c r="O548" s="119"/>
      <c r="Q548" s="213"/>
    </row>
    <row r="549" spans="13:17" ht="20.100000000000001" customHeight="1">
      <c r="M549" s="119"/>
      <c r="N549" s="119"/>
      <c r="O549" s="119"/>
      <c r="Q549" s="213"/>
    </row>
    <row r="550" spans="13:17" ht="20.100000000000001" customHeight="1">
      <c r="M550" s="119"/>
      <c r="N550" s="119"/>
      <c r="O550" s="119"/>
      <c r="Q550" s="213"/>
    </row>
    <row r="551" spans="13:17" ht="20.100000000000001" customHeight="1">
      <c r="M551" s="119"/>
      <c r="N551" s="119"/>
      <c r="O551" s="119"/>
      <c r="Q551" s="213"/>
    </row>
    <row r="552" spans="13:17" ht="20.100000000000001" customHeight="1">
      <c r="M552" s="119"/>
      <c r="N552" s="119"/>
      <c r="O552" s="119"/>
      <c r="Q552" s="213"/>
    </row>
    <row r="553" spans="13:17" ht="20.100000000000001" customHeight="1">
      <c r="M553" s="119"/>
      <c r="N553" s="119"/>
      <c r="O553" s="119"/>
      <c r="Q553" s="213"/>
    </row>
    <row r="554" spans="13:17" ht="20.100000000000001" customHeight="1">
      <c r="M554" s="119"/>
      <c r="N554" s="119"/>
      <c r="O554" s="119"/>
      <c r="Q554" s="213"/>
    </row>
    <row r="555" spans="13:17" ht="20.100000000000001" customHeight="1">
      <c r="M555" s="119"/>
      <c r="N555" s="119"/>
      <c r="O555" s="119"/>
      <c r="Q555" s="213"/>
    </row>
    <row r="556" spans="13:17" ht="20.100000000000001" customHeight="1">
      <c r="M556" s="119"/>
      <c r="N556" s="119"/>
      <c r="O556" s="119"/>
      <c r="Q556" s="213"/>
    </row>
    <row r="557" spans="13:17" ht="20.100000000000001" customHeight="1">
      <c r="M557" s="119"/>
      <c r="N557" s="119"/>
      <c r="O557" s="119"/>
      <c r="Q557" s="213"/>
    </row>
    <row r="558" spans="13:17" ht="20.100000000000001" customHeight="1">
      <c r="M558" s="119"/>
      <c r="N558" s="119"/>
      <c r="O558" s="119"/>
      <c r="Q558" s="213"/>
    </row>
    <row r="559" spans="13:17" ht="20.100000000000001" customHeight="1">
      <c r="M559" s="119"/>
      <c r="N559" s="119"/>
      <c r="O559" s="119"/>
      <c r="Q559" s="213"/>
    </row>
    <row r="560" spans="13:17" ht="20.100000000000001" customHeight="1">
      <c r="M560" s="119"/>
      <c r="N560" s="119"/>
      <c r="O560" s="119"/>
      <c r="Q560" s="213"/>
    </row>
    <row r="561" spans="13:17" ht="20.100000000000001" customHeight="1">
      <c r="M561" s="119"/>
      <c r="N561" s="119"/>
      <c r="O561" s="119"/>
      <c r="Q561" s="213"/>
    </row>
    <row r="562" spans="13:17" ht="20.100000000000001" customHeight="1">
      <c r="M562" s="119"/>
      <c r="N562" s="119"/>
      <c r="O562" s="119"/>
      <c r="Q562" s="213"/>
    </row>
    <row r="563" spans="13:17" ht="20.100000000000001" customHeight="1">
      <c r="M563" s="119"/>
      <c r="N563" s="119"/>
      <c r="O563" s="119"/>
      <c r="Q563" s="213"/>
    </row>
    <row r="564" spans="13:17" ht="20.100000000000001" customHeight="1">
      <c r="M564" s="119"/>
      <c r="N564" s="119"/>
      <c r="O564" s="119"/>
      <c r="Q564" s="213"/>
    </row>
    <row r="565" spans="13:17" ht="20.100000000000001" customHeight="1">
      <c r="M565" s="119"/>
      <c r="N565" s="119"/>
      <c r="O565" s="119"/>
      <c r="Q565" s="213"/>
    </row>
    <row r="566" spans="13:17" ht="20.100000000000001" customHeight="1">
      <c r="M566" s="119"/>
      <c r="N566" s="119"/>
      <c r="O566" s="119"/>
      <c r="Q566" s="213"/>
    </row>
    <row r="567" spans="13:17" ht="20.100000000000001" customHeight="1">
      <c r="M567" s="119"/>
      <c r="N567" s="119"/>
      <c r="O567" s="119"/>
      <c r="Q567" s="213"/>
    </row>
    <row r="568" spans="13:17" ht="20.100000000000001" customHeight="1">
      <c r="M568" s="119"/>
      <c r="N568" s="119"/>
      <c r="O568" s="119"/>
      <c r="Q568" s="213"/>
    </row>
  </sheetData>
  <mergeCells count="140">
    <mergeCell ref="Q4:Q5"/>
    <mergeCell ref="A5:L5"/>
    <mergeCell ref="A6:L6"/>
    <mergeCell ref="A7:D7"/>
    <mergeCell ref="E7:L7"/>
    <mergeCell ref="B8:E8"/>
    <mergeCell ref="F8:L8"/>
    <mergeCell ref="A1:M1"/>
    <mergeCell ref="A3:M3"/>
    <mergeCell ref="N3:O3"/>
    <mergeCell ref="A4:L4"/>
    <mergeCell ref="M4:M5"/>
    <mergeCell ref="N4:N5"/>
    <mergeCell ref="O4:O5"/>
    <mergeCell ref="H13:I13"/>
    <mergeCell ref="E14:I14"/>
    <mergeCell ref="J14:K14"/>
    <mergeCell ref="H15:I15"/>
    <mergeCell ref="E16:I16"/>
    <mergeCell ref="J16:K16"/>
    <mergeCell ref="C9:F9"/>
    <mergeCell ref="G9:L9"/>
    <mergeCell ref="E10:H10"/>
    <mergeCell ref="I10:L10"/>
    <mergeCell ref="E11:J11"/>
    <mergeCell ref="E12:I12"/>
    <mergeCell ref="J12:K12"/>
    <mergeCell ref="H21:I21"/>
    <mergeCell ref="E22:I22"/>
    <mergeCell ref="J22:K22"/>
    <mergeCell ref="H23:I23"/>
    <mergeCell ref="E24:I24"/>
    <mergeCell ref="J24:K24"/>
    <mergeCell ref="H17:I17"/>
    <mergeCell ref="E18:I18"/>
    <mergeCell ref="J18:K18"/>
    <mergeCell ref="H19:I19"/>
    <mergeCell ref="E20:I20"/>
    <mergeCell ref="J20:K20"/>
    <mergeCell ref="H29:I29"/>
    <mergeCell ref="E30:I30"/>
    <mergeCell ref="J30:K30"/>
    <mergeCell ref="H31:I31"/>
    <mergeCell ref="E32:I32"/>
    <mergeCell ref="J32:K32"/>
    <mergeCell ref="H25:I25"/>
    <mergeCell ref="E26:I26"/>
    <mergeCell ref="J26:K26"/>
    <mergeCell ref="H27:I27"/>
    <mergeCell ref="E28:I28"/>
    <mergeCell ref="J28:K28"/>
    <mergeCell ref="E37:I37"/>
    <mergeCell ref="J37:K37"/>
    <mergeCell ref="H38:I38"/>
    <mergeCell ref="E39:I39"/>
    <mergeCell ref="J39:K39"/>
    <mergeCell ref="H40:I40"/>
    <mergeCell ref="H33:I33"/>
    <mergeCell ref="E34:I34"/>
    <mergeCell ref="J34:K34"/>
    <mergeCell ref="E35:I35"/>
    <mergeCell ref="J35:K35"/>
    <mergeCell ref="H36:I36"/>
    <mergeCell ref="E45:I45"/>
    <mergeCell ref="J45:K45"/>
    <mergeCell ref="H46:I46"/>
    <mergeCell ref="E47:I47"/>
    <mergeCell ref="J47:K47"/>
    <mergeCell ref="H48:I48"/>
    <mergeCell ref="E41:I41"/>
    <mergeCell ref="J41:K41"/>
    <mergeCell ref="H42:I42"/>
    <mergeCell ref="E43:I43"/>
    <mergeCell ref="J43:K43"/>
    <mergeCell ref="H44:I44"/>
    <mergeCell ref="E53:I53"/>
    <mergeCell ref="J53:K53"/>
    <mergeCell ref="H54:I54"/>
    <mergeCell ref="E55:I55"/>
    <mergeCell ref="J55:K55"/>
    <mergeCell ref="H56:I56"/>
    <mergeCell ref="E49:I49"/>
    <mergeCell ref="J49:K49"/>
    <mergeCell ref="H50:I50"/>
    <mergeCell ref="E51:I51"/>
    <mergeCell ref="J51:K51"/>
    <mergeCell ref="H52:I52"/>
    <mergeCell ref="E61:I61"/>
    <mergeCell ref="J61:K61"/>
    <mergeCell ref="E62:I62"/>
    <mergeCell ref="J62:K62"/>
    <mergeCell ref="H63:I63"/>
    <mergeCell ref="E64:I64"/>
    <mergeCell ref="J64:K64"/>
    <mergeCell ref="E57:I57"/>
    <mergeCell ref="J57:K57"/>
    <mergeCell ref="H58:I58"/>
    <mergeCell ref="E59:I59"/>
    <mergeCell ref="J59:K59"/>
    <mergeCell ref="H60:I60"/>
    <mergeCell ref="E69:I69"/>
    <mergeCell ref="J69:K69"/>
    <mergeCell ref="E70:I70"/>
    <mergeCell ref="J70:K70"/>
    <mergeCell ref="H71:I71"/>
    <mergeCell ref="E72:I72"/>
    <mergeCell ref="J72:K72"/>
    <mergeCell ref="E65:I65"/>
    <mergeCell ref="J65:K65"/>
    <mergeCell ref="H66:I66"/>
    <mergeCell ref="E67:I67"/>
    <mergeCell ref="J67:K67"/>
    <mergeCell ref="E68:I68"/>
    <mergeCell ref="J68:K68"/>
    <mergeCell ref="E76:I76"/>
    <mergeCell ref="J76:K76"/>
    <mergeCell ref="E77:I77"/>
    <mergeCell ref="J77:K77"/>
    <mergeCell ref="E79:J79"/>
    <mergeCell ref="E80:I80"/>
    <mergeCell ref="J80:K80"/>
    <mergeCell ref="E73:I73"/>
    <mergeCell ref="J73:K73"/>
    <mergeCell ref="E74:I74"/>
    <mergeCell ref="J74:K74"/>
    <mergeCell ref="E75:I75"/>
    <mergeCell ref="J75:K75"/>
    <mergeCell ref="E85:H85"/>
    <mergeCell ref="I85:L85"/>
    <mergeCell ref="E86:J86"/>
    <mergeCell ref="E87:I87"/>
    <mergeCell ref="J87:K87"/>
    <mergeCell ref="E88:I88"/>
    <mergeCell ref="J88:K88"/>
    <mergeCell ref="E81:I81"/>
    <mergeCell ref="J81:K81"/>
    <mergeCell ref="B83:E83"/>
    <mergeCell ref="F83:L83"/>
    <mergeCell ref="C84:F84"/>
    <mergeCell ref="G84:L84"/>
  </mergeCells>
  <phoneticPr fontId="2" type="noConversion"/>
  <pageMargins left="0.70866141732283472" right="0.70866141732283472" top="1.1417322834645669" bottom="1.1417322834645669" header="0.31496062992125984" footer="0.31496062992125984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10</vt:i4>
      </vt:variant>
      <vt:variant>
        <vt:lpstr>이름이 지정된 범위</vt:lpstr>
      </vt:variant>
      <vt:variant>
        <vt:i4>15</vt:i4>
      </vt:variant>
    </vt:vector>
  </HeadingPairs>
  <TitlesOfParts>
    <vt:vector size="25" baseType="lpstr">
      <vt:lpstr>집계표</vt:lpstr>
      <vt:lpstr>경영기획처</vt:lpstr>
      <vt:lpstr>경영기획부 (차량 수정전자료 백업)</vt:lpstr>
      <vt:lpstr>시설관리처(백업)</vt:lpstr>
      <vt:lpstr>시설관리처</vt:lpstr>
      <vt:lpstr>시민회관체육운영처</vt:lpstr>
      <vt:lpstr>공원수련관관리처(공원)</vt:lpstr>
      <vt:lpstr>공원수련관관리처(수련관)</vt:lpstr>
      <vt:lpstr>시설관리처(공영주차)</vt:lpstr>
      <vt:lpstr>시설관리처(교통복지)</vt:lpstr>
      <vt:lpstr>경영기획처!Print_Area</vt:lpstr>
      <vt:lpstr>'공원수련관관리처(공원)'!Print_Area</vt:lpstr>
      <vt:lpstr>'공원수련관관리처(수련관)'!Print_Area</vt:lpstr>
      <vt:lpstr>시민회관체육운영처!Print_Area</vt:lpstr>
      <vt:lpstr>시설관리처!Print_Area</vt:lpstr>
      <vt:lpstr>'시설관리처(공영주차)'!Print_Area</vt:lpstr>
      <vt:lpstr>'시설관리처(교통복지)'!Print_Area</vt:lpstr>
      <vt:lpstr>'시설관리처(백업)'!Print_Area</vt:lpstr>
      <vt:lpstr>집계표!Print_Area</vt:lpstr>
      <vt:lpstr>'공원수련관관리처(공원)'!Print_Titles</vt:lpstr>
      <vt:lpstr>'공원수련관관리처(수련관)'!Print_Titles</vt:lpstr>
      <vt:lpstr>시민회관체육운영처!Print_Titles</vt:lpstr>
      <vt:lpstr>시설관리처!Print_Titles</vt:lpstr>
      <vt:lpstr>'시설관리처(공영주차)'!Print_Titles</vt:lpstr>
      <vt:lpstr>'시설관리처(백업)'!Print_Titles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2025-05-29T00:58:32Z</cp:lastPrinted>
  <dcterms:created xsi:type="dcterms:W3CDTF">2023-08-31T02:09:47Z</dcterms:created>
  <dcterms:modified xsi:type="dcterms:W3CDTF">2025-05-29T00:58:57Z</dcterms:modified>
</cp:coreProperties>
</file>